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ctrlProps/ctrlProp23.xml" ContentType="application/vnd.ms-excel.controlproperties+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workbookProtection workbookPassword="EE37" lockStructure="1"/>
  <bookViews>
    <workbookView xWindow="9945" yWindow="60" windowWidth="2850" windowHeight="3885" tabRatio="816" activeTab="1"/>
  </bookViews>
  <sheets>
    <sheet name="Inicio" sheetId="22" r:id="rId1"/>
    <sheet name="CE_Chile" sheetId="19" r:id="rId2"/>
    <sheet name="Datos Informe y Etiqueta" sheetId="28" r:id="rId3"/>
    <sheet name="Resultados Detallados" sheetId="29" r:id="rId4"/>
    <sheet name="Certificado" sheetId="21" state="hidden" r:id="rId5"/>
    <sheet name="Notas1" sheetId="24" r:id="rId6"/>
    <sheet name="Notas2" sheetId="25" r:id="rId7"/>
    <sheet name="Notas3" sheetId="33" r:id="rId8"/>
    <sheet name="Calculo Fa" sheetId="34" r:id="rId9"/>
    <sheet name="Vivienda Objeto" sheetId="1" state="hidden" r:id="rId10"/>
    <sheet name="Referencia" sheetId="11" state="hidden" r:id="rId11"/>
    <sheet name="R1" sheetId="9" state="hidden" r:id="rId12"/>
    <sheet name="R2" sheetId="10" state="hidden" r:id="rId13"/>
    <sheet name="R3" sheetId="12" state="hidden" r:id="rId14"/>
    <sheet name="R4" sheetId="16" state="hidden" r:id="rId15"/>
    <sheet name="R5" sheetId="18" state="hidden" r:id="rId16"/>
    <sheet name="R6" sheetId="30" state="hidden" r:id="rId17"/>
    <sheet name="Versiones" sheetId="14" state="hidden" r:id="rId18"/>
    <sheet name="R7" sheetId="36" state="hidden" r:id="rId19"/>
    <sheet name="Hoja2" sheetId="32" state="hidden" r:id="rId20"/>
    <sheet name="Cambios Realizados" sheetId="35" state="hidden" r:id="rId21"/>
  </sheets>
  <externalReferences>
    <externalReference r:id="rId22"/>
  </externalReferences>
  <definedNames>
    <definedName name="_xlnm.Print_Area" localSheetId="1">CE_Chile!#REF!</definedName>
    <definedName name="_xlnm.Print_Area" localSheetId="4">Certificado!$A$1:$AG$123</definedName>
    <definedName name="_xlnm.Print_Area" localSheetId="14">'R4'!$A$112:$O$164</definedName>
    <definedName name="_xlnm.Print_Area" localSheetId="10">Referencia!$A$2:$N$102</definedName>
    <definedName name="Z_2239797F_3020_4364_93B0_F22DAADF645D_.wvu.PrintArea" localSheetId="4" hidden="1">Certificado!$A$1:$AG$123</definedName>
    <definedName name="Z_2239797F_3020_4364_93B0_F22DAADF645D_.wvu.PrintArea" localSheetId="10" hidden="1">Referencia!$A$2:$N$102</definedName>
  </definedNames>
  <calcPr calcId="145621" concurrentCalc="0"/>
  <customWorkbookViews>
    <customWorkbookView name="vista1" guid="{2239797F-3020-4364-93B0-F22DAADF645D}" maximized="1" windowWidth="1276" windowHeight="589" tabRatio="555" activeSheetId="19"/>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J36" i="18" l="1"/>
  <c r="Q18" i="18"/>
  <c r="Q17" i="18"/>
  <c r="Q16" i="18"/>
  <c r="Q15" i="18"/>
  <c r="Q14" i="18"/>
  <c r="Q13" i="18"/>
  <c r="Q12" i="18"/>
  <c r="Q11" i="18"/>
  <c r="Q10" i="18"/>
  <c r="Q9" i="18"/>
  <c r="Q8" i="18"/>
  <c r="Q7" i="18"/>
  <c r="P1" i="18"/>
  <c r="I4" i="18"/>
  <c r="I2" i="18"/>
  <c r="P2" i="18"/>
  <c r="B2" i="18"/>
  <c r="J18" i="18"/>
  <c r="J17" i="18"/>
  <c r="J16" i="18"/>
  <c r="J15" i="18"/>
  <c r="J14" i="18"/>
  <c r="J13" i="18"/>
  <c r="J12" i="18"/>
  <c r="J11" i="18"/>
  <c r="J10" i="18"/>
  <c r="J9" i="18"/>
  <c r="J8" i="18"/>
  <c r="J7" i="18"/>
  <c r="T16" i="18"/>
  <c r="H215" i="1"/>
  <c r="R19" i="18"/>
  <c r="R18" i="18"/>
  <c r="L18" i="18"/>
  <c r="E33" i="18"/>
  <c r="F33" i="18"/>
  <c r="G33" i="18"/>
  <c r="H33" i="18"/>
  <c r="I33" i="18"/>
  <c r="J33" i="18"/>
  <c r="K20" i="18"/>
  <c r="K33" i="18"/>
  <c r="M33" i="18"/>
  <c r="N33" i="18"/>
  <c r="T17" i="18"/>
  <c r="T19" i="18"/>
  <c r="R33" i="18"/>
  <c r="R17" i="18"/>
  <c r="L17" i="18"/>
  <c r="E32" i="18"/>
  <c r="F32" i="18"/>
  <c r="G32" i="18"/>
  <c r="H32" i="18"/>
  <c r="I32" i="18"/>
  <c r="J32" i="18"/>
  <c r="K32" i="18"/>
  <c r="M32" i="18"/>
  <c r="N32" i="18"/>
  <c r="R32" i="18"/>
  <c r="R16" i="18"/>
  <c r="L16" i="18"/>
  <c r="E31" i="18"/>
  <c r="F31" i="18"/>
  <c r="G31" i="18"/>
  <c r="H31" i="18"/>
  <c r="I31" i="18"/>
  <c r="J31" i="18"/>
  <c r="K31" i="18"/>
  <c r="M31" i="18"/>
  <c r="N31" i="18"/>
  <c r="R31" i="18"/>
  <c r="R15" i="18"/>
  <c r="L15" i="18"/>
  <c r="E30" i="18"/>
  <c r="F30" i="18"/>
  <c r="G30" i="18"/>
  <c r="H30" i="18"/>
  <c r="I30" i="18"/>
  <c r="J30" i="18"/>
  <c r="K30" i="18"/>
  <c r="M30" i="18"/>
  <c r="N30" i="18"/>
  <c r="R30" i="18"/>
  <c r="R14" i="18"/>
  <c r="L14" i="18"/>
  <c r="E29" i="18"/>
  <c r="F29" i="18"/>
  <c r="G29" i="18"/>
  <c r="H29" i="18"/>
  <c r="I29" i="18"/>
  <c r="J29" i="18"/>
  <c r="K29" i="18"/>
  <c r="M29" i="18"/>
  <c r="N29" i="18"/>
  <c r="R29" i="18"/>
  <c r="R13" i="18"/>
  <c r="L13" i="18"/>
  <c r="E28" i="18"/>
  <c r="F28" i="18"/>
  <c r="G28" i="18"/>
  <c r="H28" i="18"/>
  <c r="I28" i="18"/>
  <c r="J28" i="18"/>
  <c r="K28" i="18"/>
  <c r="M28" i="18"/>
  <c r="N28" i="18"/>
  <c r="R28" i="18"/>
  <c r="R12" i="18"/>
  <c r="L12" i="18"/>
  <c r="E27" i="18"/>
  <c r="F27" i="18"/>
  <c r="G27" i="18"/>
  <c r="H27" i="18"/>
  <c r="I27" i="18"/>
  <c r="J27" i="18"/>
  <c r="K27" i="18"/>
  <c r="M27" i="18"/>
  <c r="N27" i="18"/>
  <c r="R27" i="18"/>
  <c r="R11" i="18"/>
  <c r="L11" i="18"/>
  <c r="E26" i="18"/>
  <c r="F26" i="18"/>
  <c r="G26" i="18"/>
  <c r="H26" i="18"/>
  <c r="I26" i="18"/>
  <c r="J26" i="18"/>
  <c r="K26" i="18"/>
  <c r="M26" i="18"/>
  <c r="N26" i="18"/>
  <c r="R26" i="18"/>
  <c r="R10" i="18"/>
  <c r="L10" i="18"/>
  <c r="E25" i="18"/>
  <c r="F25" i="18"/>
  <c r="G25" i="18"/>
  <c r="H25" i="18"/>
  <c r="I25" i="18"/>
  <c r="J25" i="18"/>
  <c r="K25" i="18"/>
  <c r="M25" i="18"/>
  <c r="N25" i="18"/>
  <c r="R25" i="18"/>
  <c r="R9" i="18"/>
  <c r="L9" i="18"/>
  <c r="E24" i="18"/>
  <c r="F24" i="18"/>
  <c r="G24" i="18"/>
  <c r="H24" i="18"/>
  <c r="I24" i="18"/>
  <c r="J24" i="18"/>
  <c r="K24" i="18"/>
  <c r="M24" i="18"/>
  <c r="N24" i="18"/>
  <c r="R24" i="18"/>
  <c r="R8" i="18"/>
  <c r="L8" i="18"/>
  <c r="E23" i="18"/>
  <c r="F23" i="18"/>
  <c r="G23" i="18"/>
  <c r="H23" i="18"/>
  <c r="I23" i="18"/>
  <c r="J23" i="18"/>
  <c r="K23" i="18"/>
  <c r="M23" i="18"/>
  <c r="N23" i="18"/>
  <c r="R23" i="18"/>
  <c r="R7" i="18"/>
  <c r="L7" i="18"/>
  <c r="E22" i="18"/>
  <c r="F22" i="18"/>
  <c r="G22" i="18"/>
  <c r="H22" i="18"/>
  <c r="I22" i="18"/>
  <c r="J22" i="18"/>
  <c r="K22" i="18"/>
  <c r="M22" i="18"/>
  <c r="N22" i="18"/>
  <c r="R22" i="18"/>
  <c r="J171" i="1"/>
  <c r="F3" i="16"/>
  <c r="G3" i="16"/>
  <c r="H171" i="1"/>
  <c r="N171" i="1"/>
  <c r="L171" i="19"/>
  <c r="J172" i="1"/>
  <c r="H3" i="16"/>
  <c r="H172" i="1"/>
  <c r="N172" i="1"/>
  <c r="L172" i="19"/>
  <c r="J173" i="1"/>
  <c r="I3" i="16"/>
  <c r="H173" i="1"/>
  <c r="N173" i="1"/>
  <c r="L173" i="19"/>
  <c r="H168" i="1"/>
  <c r="O39" i="16"/>
  <c r="N55" i="16"/>
  <c r="N54" i="16"/>
  <c r="N53" i="16"/>
  <c r="N52" i="16"/>
  <c r="N51" i="16"/>
  <c r="N50" i="16"/>
  <c r="N49" i="16"/>
  <c r="N48" i="16"/>
  <c r="N47" i="16"/>
  <c r="N46" i="16"/>
  <c r="N45" i="16"/>
  <c r="N44" i="16"/>
  <c r="Q5" i="30"/>
  <c r="Q28" i="16"/>
  <c r="R28" i="16"/>
  <c r="AO8" i="36"/>
  <c r="H166" i="1"/>
  <c r="B11" i="16"/>
  <c r="Z2" i="36"/>
  <c r="AF8" i="36"/>
  <c r="AI8" i="36"/>
  <c r="AJ8" i="36"/>
  <c r="AK8" i="36"/>
  <c r="AF9" i="36"/>
  <c r="AI9" i="36"/>
  <c r="AJ9" i="36"/>
  <c r="AK9" i="36"/>
  <c r="AF10" i="36"/>
  <c r="AI10" i="36"/>
  <c r="AJ10" i="36"/>
  <c r="AK10" i="36"/>
  <c r="AF11" i="36"/>
  <c r="AI11" i="36"/>
  <c r="AJ11" i="36"/>
  <c r="AK11" i="36"/>
  <c r="AF12" i="36"/>
  <c r="AI12" i="36"/>
  <c r="AJ12" i="36"/>
  <c r="AK12" i="36"/>
  <c r="AF13" i="36"/>
  <c r="AI13" i="36"/>
  <c r="AJ13" i="36"/>
  <c r="AK13" i="36"/>
  <c r="AF14" i="36"/>
  <c r="AI14" i="36"/>
  <c r="AJ14" i="36"/>
  <c r="AK14" i="36"/>
  <c r="AF15" i="36"/>
  <c r="AI15" i="36"/>
  <c r="AJ15" i="36"/>
  <c r="AK15" i="36"/>
  <c r="AF16" i="36"/>
  <c r="AI16" i="36"/>
  <c r="AJ16" i="36"/>
  <c r="AK16" i="36"/>
  <c r="AF17" i="36"/>
  <c r="AI17" i="36"/>
  <c r="AJ17" i="36"/>
  <c r="AK17" i="36"/>
  <c r="AF18" i="36"/>
  <c r="AI18" i="36"/>
  <c r="AJ18" i="36"/>
  <c r="AK18" i="36"/>
  <c r="AF19" i="36"/>
  <c r="AI19" i="36"/>
  <c r="AJ19" i="36"/>
  <c r="AK19" i="36"/>
  <c r="AF20" i="36"/>
  <c r="AI20" i="36"/>
  <c r="AJ20" i="36"/>
  <c r="AK20" i="36"/>
  <c r="AF21" i="36"/>
  <c r="AI21" i="36"/>
  <c r="AJ21" i="36"/>
  <c r="AK21" i="36"/>
  <c r="AF22" i="36"/>
  <c r="AI22" i="36"/>
  <c r="AJ22" i="36"/>
  <c r="AK22" i="36"/>
  <c r="AF23" i="36"/>
  <c r="AI23" i="36"/>
  <c r="AJ23" i="36"/>
  <c r="AK23" i="36"/>
  <c r="AK24" i="36"/>
  <c r="AN8" i="36"/>
  <c r="AP8" i="36"/>
  <c r="Z3" i="36"/>
  <c r="AF44" i="36"/>
  <c r="AI44" i="36"/>
  <c r="AJ44" i="36"/>
  <c r="AK44" i="36"/>
  <c r="AF45" i="36"/>
  <c r="AI45" i="36"/>
  <c r="AJ45" i="36"/>
  <c r="AK45" i="36"/>
  <c r="AF46" i="36"/>
  <c r="AI46" i="36"/>
  <c r="AJ46" i="36"/>
  <c r="AK46" i="36"/>
  <c r="AF47" i="36"/>
  <c r="AI47" i="36"/>
  <c r="AJ47" i="36"/>
  <c r="AK47" i="36"/>
  <c r="AF48" i="36"/>
  <c r="AI48" i="36"/>
  <c r="AJ48" i="36"/>
  <c r="AK48" i="36"/>
  <c r="AF49" i="36"/>
  <c r="AI49" i="36"/>
  <c r="AJ49" i="36"/>
  <c r="AK49" i="36"/>
  <c r="AF50" i="36"/>
  <c r="AI50" i="36"/>
  <c r="AJ50" i="36"/>
  <c r="AK50" i="36"/>
  <c r="AF51" i="36"/>
  <c r="AI51" i="36"/>
  <c r="AJ51" i="36"/>
  <c r="AK51" i="36"/>
  <c r="AF52" i="36"/>
  <c r="AI52" i="36"/>
  <c r="AJ52" i="36"/>
  <c r="AK52" i="36"/>
  <c r="AF53" i="36"/>
  <c r="AI53" i="36"/>
  <c r="AJ53" i="36"/>
  <c r="AK53" i="36"/>
  <c r="AF54" i="36"/>
  <c r="AI54" i="36"/>
  <c r="AJ54" i="36"/>
  <c r="AK54" i="36"/>
  <c r="AF55" i="36"/>
  <c r="AI55" i="36"/>
  <c r="AJ55" i="36"/>
  <c r="AK55" i="36"/>
  <c r="AF56" i="36"/>
  <c r="AI56" i="36"/>
  <c r="AJ56" i="36"/>
  <c r="AK56" i="36"/>
  <c r="AF57" i="36"/>
  <c r="AI57" i="36"/>
  <c r="AJ57" i="36"/>
  <c r="AK57" i="36"/>
  <c r="AF58" i="36"/>
  <c r="AI58" i="36"/>
  <c r="AJ58" i="36"/>
  <c r="AK58" i="36"/>
  <c r="AF59" i="36"/>
  <c r="AI59" i="36"/>
  <c r="AJ59" i="36"/>
  <c r="AK59" i="36"/>
  <c r="AK60" i="36"/>
  <c r="AN10" i="36"/>
  <c r="S5" i="30"/>
  <c r="Q30" i="16"/>
  <c r="R30" i="16"/>
  <c r="AO10" i="36"/>
  <c r="AP10" i="36"/>
  <c r="AE8" i="36"/>
  <c r="J2" i="9"/>
  <c r="J58" i="16"/>
  <c r="B2" i="36"/>
  <c r="AC8" i="36"/>
  <c r="AD8" i="36"/>
  <c r="AG8" i="36"/>
  <c r="AH8" i="36"/>
  <c r="B1" i="36"/>
  <c r="V8" i="36"/>
  <c r="AA8" i="36"/>
  <c r="W8" i="36"/>
  <c r="AB8" i="36"/>
  <c r="AE9" i="36"/>
  <c r="AC9" i="36"/>
  <c r="AD9" i="36"/>
  <c r="AG9" i="36"/>
  <c r="AH9" i="36"/>
  <c r="V9" i="36"/>
  <c r="AA9" i="36"/>
  <c r="W9" i="36"/>
  <c r="AB9" i="36"/>
  <c r="AE10" i="36"/>
  <c r="AC10" i="36"/>
  <c r="AD10" i="36"/>
  <c r="AG10" i="36"/>
  <c r="AH10" i="36"/>
  <c r="V10" i="36"/>
  <c r="AA10" i="36"/>
  <c r="W10" i="36"/>
  <c r="AB10" i="36"/>
  <c r="AE11" i="36"/>
  <c r="AC11" i="36"/>
  <c r="AD11" i="36"/>
  <c r="AG11" i="36"/>
  <c r="AH11" i="36"/>
  <c r="V11" i="36"/>
  <c r="AA11" i="36"/>
  <c r="W11" i="36"/>
  <c r="AB11" i="36"/>
  <c r="AE12" i="36"/>
  <c r="AC12" i="36"/>
  <c r="AD12" i="36"/>
  <c r="AG12" i="36"/>
  <c r="AH12" i="36"/>
  <c r="V12" i="36"/>
  <c r="AA12" i="36"/>
  <c r="W12" i="36"/>
  <c r="AB12" i="36"/>
  <c r="AE13" i="36"/>
  <c r="AC13" i="36"/>
  <c r="AD13" i="36"/>
  <c r="AG13" i="36"/>
  <c r="AH13" i="36"/>
  <c r="V13" i="36"/>
  <c r="AA13" i="36"/>
  <c r="W13" i="36"/>
  <c r="AB13" i="36"/>
  <c r="AE14" i="36"/>
  <c r="AC14" i="36"/>
  <c r="AD14" i="36"/>
  <c r="AG14" i="36"/>
  <c r="AH14" i="36"/>
  <c r="V14" i="36"/>
  <c r="AA14" i="36"/>
  <c r="W14" i="36"/>
  <c r="AB14" i="36"/>
  <c r="AE15" i="36"/>
  <c r="AC15" i="36"/>
  <c r="AD15" i="36"/>
  <c r="AG15" i="36"/>
  <c r="AH15" i="36"/>
  <c r="V15" i="36"/>
  <c r="AA15" i="36"/>
  <c r="W15" i="36"/>
  <c r="AB15" i="36"/>
  <c r="AE16" i="36"/>
  <c r="AC16" i="36"/>
  <c r="AD16" i="36"/>
  <c r="AG16" i="36"/>
  <c r="AH16" i="36"/>
  <c r="V16" i="36"/>
  <c r="AA16" i="36"/>
  <c r="W16" i="36"/>
  <c r="AB16" i="36"/>
  <c r="AE17" i="36"/>
  <c r="AC17" i="36"/>
  <c r="AD17" i="36"/>
  <c r="AG17" i="36"/>
  <c r="AH17" i="36"/>
  <c r="V17" i="36"/>
  <c r="AA17" i="36"/>
  <c r="W17" i="36"/>
  <c r="AB17" i="36"/>
  <c r="AE18" i="36"/>
  <c r="AC18" i="36"/>
  <c r="AD18" i="36"/>
  <c r="AG18" i="36"/>
  <c r="AH18" i="36"/>
  <c r="V18" i="36"/>
  <c r="AA18" i="36"/>
  <c r="W18" i="36"/>
  <c r="AB18" i="36"/>
  <c r="AE19" i="36"/>
  <c r="AC19" i="36"/>
  <c r="AD19" i="36"/>
  <c r="AG19" i="36"/>
  <c r="AH19" i="36"/>
  <c r="V19" i="36"/>
  <c r="AA19" i="36"/>
  <c r="W19" i="36"/>
  <c r="AB19" i="36"/>
  <c r="AE20" i="36"/>
  <c r="AC20" i="36"/>
  <c r="AD20" i="36"/>
  <c r="AG20" i="36"/>
  <c r="AH20" i="36"/>
  <c r="V20" i="36"/>
  <c r="AA20" i="36"/>
  <c r="W20" i="36"/>
  <c r="AB20" i="36"/>
  <c r="AE21" i="36"/>
  <c r="AC21" i="36"/>
  <c r="AD21" i="36"/>
  <c r="AG21" i="36"/>
  <c r="AH21" i="36"/>
  <c r="V21" i="36"/>
  <c r="AA21" i="36"/>
  <c r="W21" i="36"/>
  <c r="AB21" i="36"/>
  <c r="AE22" i="36"/>
  <c r="AC22" i="36"/>
  <c r="AD22" i="36"/>
  <c r="AG22" i="36"/>
  <c r="AH22" i="36"/>
  <c r="V22" i="36"/>
  <c r="AA22" i="36"/>
  <c r="W22" i="36"/>
  <c r="AB22" i="36"/>
  <c r="AE23" i="36"/>
  <c r="AC23" i="36"/>
  <c r="AD23" i="36"/>
  <c r="AG23" i="36"/>
  <c r="AH23" i="36"/>
  <c r="V23" i="36"/>
  <c r="AA23" i="36"/>
  <c r="W23" i="36"/>
  <c r="AB23" i="36"/>
  <c r="O44" i="16"/>
  <c r="P44" i="16"/>
  <c r="H165" i="1"/>
  <c r="I4" i="16"/>
  <c r="G8" i="16"/>
  <c r="G9" i="16"/>
  <c r="B7" i="16"/>
  <c r="G4" i="16"/>
  <c r="H116" i="16"/>
  <c r="D13" i="1"/>
  <c r="D14" i="1"/>
  <c r="D15" i="1"/>
  <c r="D17" i="1"/>
  <c r="H115" i="1"/>
  <c r="C112" i="16"/>
  <c r="J99" i="16"/>
  <c r="C116" i="16"/>
  <c r="C134" i="16"/>
  <c r="H4" i="16"/>
  <c r="J14" i="16"/>
  <c r="G116" i="16"/>
  <c r="J116" i="16"/>
  <c r="B134" i="16"/>
  <c r="D134" i="16"/>
  <c r="E134" i="16"/>
  <c r="F134" i="16"/>
  <c r="G134" i="16"/>
  <c r="H134" i="16"/>
  <c r="I134" i="16"/>
  <c r="J134" i="16"/>
  <c r="AE26" i="36"/>
  <c r="AC26" i="36"/>
  <c r="AD26" i="36"/>
  <c r="AF26" i="36"/>
  <c r="AI26" i="36"/>
  <c r="AG26" i="36"/>
  <c r="AH26" i="36"/>
  <c r="AJ26" i="36"/>
  <c r="V26" i="36"/>
  <c r="AA26" i="36"/>
  <c r="W26" i="36"/>
  <c r="AB26" i="36"/>
  <c r="AK26" i="36"/>
  <c r="AE27" i="36"/>
  <c r="AC27" i="36"/>
  <c r="AD27" i="36"/>
  <c r="AF27" i="36"/>
  <c r="AI27" i="36"/>
  <c r="AG27" i="36"/>
  <c r="AH27" i="36"/>
  <c r="AJ27" i="36"/>
  <c r="V27" i="36"/>
  <c r="AA27" i="36"/>
  <c r="W27" i="36"/>
  <c r="AB27" i="36"/>
  <c r="AK27" i="36"/>
  <c r="AE28" i="36"/>
  <c r="AC28" i="36"/>
  <c r="AD28" i="36"/>
  <c r="AF28" i="36"/>
  <c r="AI28" i="36"/>
  <c r="AG28" i="36"/>
  <c r="AH28" i="36"/>
  <c r="AJ28" i="36"/>
  <c r="V28" i="36"/>
  <c r="AA28" i="36"/>
  <c r="W28" i="36"/>
  <c r="AB28" i="36"/>
  <c r="AK28" i="36"/>
  <c r="AE29" i="36"/>
  <c r="AC29" i="36"/>
  <c r="AD29" i="36"/>
  <c r="AF29" i="36"/>
  <c r="AI29" i="36"/>
  <c r="AG29" i="36"/>
  <c r="AH29" i="36"/>
  <c r="AJ29" i="36"/>
  <c r="V29" i="36"/>
  <c r="AA29" i="36"/>
  <c r="W29" i="36"/>
  <c r="AB29" i="36"/>
  <c r="AK29" i="36"/>
  <c r="AE30" i="36"/>
  <c r="AC30" i="36"/>
  <c r="AD30" i="36"/>
  <c r="AF30" i="36"/>
  <c r="AI30" i="36"/>
  <c r="AG30" i="36"/>
  <c r="AH30" i="36"/>
  <c r="AJ30" i="36"/>
  <c r="V30" i="36"/>
  <c r="AA30" i="36"/>
  <c r="W30" i="36"/>
  <c r="AB30" i="36"/>
  <c r="AK30" i="36"/>
  <c r="AE31" i="36"/>
  <c r="AC31" i="36"/>
  <c r="AD31" i="36"/>
  <c r="AF31" i="36"/>
  <c r="AI31" i="36"/>
  <c r="AG31" i="36"/>
  <c r="AH31" i="36"/>
  <c r="AJ31" i="36"/>
  <c r="V31" i="36"/>
  <c r="AA31" i="36"/>
  <c r="W31" i="36"/>
  <c r="AB31" i="36"/>
  <c r="AK31" i="36"/>
  <c r="AE32" i="36"/>
  <c r="AC32" i="36"/>
  <c r="AD32" i="36"/>
  <c r="AF32" i="36"/>
  <c r="AI32" i="36"/>
  <c r="AG32" i="36"/>
  <c r="AH32" i="36"/>
  <c r="AJ32" i="36"/>
  <c r="V32" i="36"/>
  <c r="AA32" i="36"/>
  <c r="W32" i="36"/>
  <c r="AB32" i="36"/>
  <c r="AK32" i="36"/>
  <c r="AE33" i="36"/>
  <c r="AC33" i="36"/>
  <c r="AD33" i="36"/>
  <c r="AF33" i="36"/>
  <c r="AI33" i="36"/>
  <c r="AG33" i="36"/>
  <c r="AH33" i="36"/>
  <c r="AJ33" i="36"/>
  <c r="V33" i="36"/>
  <c r="AA33" i="36"/>
  <c r="W33" i="36"/>
  <c r="AB33" i="36"/>
  <c r="AK33" i="36"/>
  <c r="AE34" i="36"/>
  <c r="AC34" i="36"/>
  <c r="AD34" i="36"/>
  <c r="AF34" i="36"/>
  <c r="AI34" i="36"/>
  <c r="AG34" i="36"/>
  <c r="AH34" i="36"/>
  <c r="AJ34" i="36"/>
  <c r="V34" i="36"/>
  <c r="AA34" i="36"/>
  <c r="W34" i="36"/>
  <c r="AB34" i="36"/>
  <c r="AK34" i="36"/>
  <c r="AE35" i="36"/>
  <c r="AC35" i="36"/>
  <c r="AD35" i="36"/>
  <c r="AF35" i="36"/>
  <c r="AI35" i="36"/>
  <c r="AG35" i="36"/>
  <c r="AH35" i="36"/>
  <c r="AJ35" i="36"/>
  <c r="V35" i="36"/>
  <c r="AA35" i="36"/>
  <c r="W35" i="36"/>
  <c r="AB35" i="36"/>
  <c r="AK35" i="36"/>
  <c r="AE36" i="36"/>
  <c r="AC36" i="36"/>
  <c r="AD36" i="36"/>
  <c r="AF36" i="36"/>
  <c r="AI36" i="36"/>
  <c r="AG36" i="36"/>
  <c r="AH36" i="36"/>
  <c r="AJ36" i="36"/>
  <c r="V36" i="36"/>
  <c r="AA36" i="36"/>
  <c r="W36" i="36"/>
  <c r="AB36" i="36"/>
  <c r="AK36" i="36"/>
  <c r="AE37" i="36"/>
  <c r="AC37" i="36"/>
  <c r="AD37" i="36"/>
  <c r="AF37" i="36"/>
  <c r="AI37" i="36"/>
  <c r="AG37" i="36"/>
  <c r="AH37" i="36"/>
  <c r="AJ37" i="36"/>
  <c r="V37" i="36"/>
  <c r="AA37" i="36"/>
  <c r="W37" i="36"/>
  <c r="AB37" i="36"/>
  <c r="AK37" i="36"/>
  <c r="AE38" i="36"/>
  <c r="AC38" i="36"/>
  <c r="AD38" i="36"/>
  <c r="AF38" i="36"/>
  <c r="AI38" i="36"/>
  <c r="AG38" i="36"/>
  <c r="AH38" i="36"/>
  <c r="AJ38" i="36"/>
  <c r="V38" i="36"/>
  <c r="AA38" i="36"/>
  <c r="W38" i="36"/>
  <c r="AB38" i="36"/>
  <c r="AK38" i="36"/>
  <c r="AE39" i="36"/>
  <c r="AC39" i="36"/>
  <c r="AD39" i="36"/>
  <c r="AF39" i="36"/>
  <c r="AI39" i="36"/>
  <c r="AG39" i="36"/>
  <c r="AH39" i="36"/>
  <c r="AJ39" i="36"/>
  <c r="V39" i="36"/>
  <c r="AA39" i="36"/>
  <c r="W39" i="36"/>
  <c r="AB39" i="36"/>
  <c r="AK39" i="36"/>
  <c r="AE40" i="36"/>
  <c r="AC40" i="36"/>
  <c r="AD40" i="36"/>
  <c r="AF40" i="36"/>
  <c r="AI40" i="36"/>
  <c r="AG40" i="36"/>
  <c r="AH40" i="36"/>
  <c r="AJ40" i="36"/>
  <c r="V40" i="36"/>
  <c r="AA40" i="36"/>
  <c r="W40" i="36"/>
  <c r="AB40" i="36"/>
  <c r="AK40" i="36"/>
  <c r="AE41" i="36"/>
  <c r="AC41" i="36"/>
  <c r="AD41" i="36"/>
  <c r="AF41" i="36"/>
  <c r="AI41" i="36"/>
  <c r="AG41" i="36"/>
  <c r="AH41" i="36"/>
  <c r="AJ41" i="36"/>
  <c r="V41" i="36"/>
  <c r="AA41" i="36"/>
  <c r="W41" i="36"/>
  <c r="AB41" i="36"/>
  <c r="AK41" i="36"/>
  <c r="AK42" i="36"/>
  <c r="AN9" i="36"/>
  <c r="R5" i="30"/>
  <c r="Q29" i="16"/>
  <c r="R29" i="16"/>
  <c r="AO9" i="36"/>
  <c r="AP9" i="36"/>
  <c r="O45" i="16"/>
  <c r="P45" i="16"/>
  <c r="H117" i="16"/>
  <c r="J100" i="16"/>
  <c r="C117" i="16"/>
  <c r="C135" i="16"/>
  <c r="J15" i="16"/>
  <c r="G117" i="16"/>
  <c r="J117" i="16"/>
  <c r="B135" i="16"/>
  <c r="D135" i="16"/>
  <c r="E135" i="16"/>
  <c r="F135" i="16"/>
  <c r="G135" i="16"/>
  <c r="H135" i="16"/>
  <c r="I135" i="16"/>
  <c r="J135" i="16"/>
  <c r="AE44" i="36"/>
  <c r="AC44" i="36"/>
  <c r="AD44" i="36"/>
  <c r="AG44" i="36"/>
  <c r="AH44" i="36"/>
  <c r="V44" i="36"/>
  <c r="AA44" i="36"/>
  <c r="W44" i="36"/>
  <c r="AB44" i="36"/>
  <c r="AE45" i="36"/>
  <c r="AC45" i="36"/>
  <c r="AD45" i="36"/>
  <c r="AG45" i="36"/>
  <c r="AH45" i="36"/>
  <c r="V45" i="36"/>
  <c r="AA45" i="36"/>
  <c r="W45" i="36"/>
  <c r="AB45" i="36"/>
  <c r="AE46" i="36"/>
  <c r="AC46" i="36"/>
  <c r="AD46" i="36"/>
  <c r="AG46" i="36"/>
  <c r="AH46" i="36"/>
  <c r="V46" i="36"/>
  <c r="AA46" i="36"/>
  <c r="W46" i="36"/>
  <c r="AB46" i="36"/>
  <c r="AE47" i="36"/>
  <c r="AC47" i="36"/>
  <c r="AD47" i="36"/>
  <c r="AG47" i="36"/>
  <c r="AH47" i="36"/>
  <c r="V47" i="36"/>
  <c r="AA47" i="36"/>
  <c r="W47" i="36"/>
  <c r="AB47" i="36"/>
  <c r="AE48" i="36"/>
  <c r="AC48" i="36"/>
  <c r="AD48" i="36"/>
  <c r="AG48" i="36"/>
  <c r="AH48" i="36"/>
  <c r="V48" i="36"/>
  <c r="AA48" i="36"/>
  <c r="W48" i="36"/>
  <c r="AB48" i="36"/>
  <c r="AE49" i="36"/>
  <c r="AC49" i="36"/>
  <c r="AD49" i="36"/>
  <c r="AG49" i="36"/>
  <c r="AH49" i="36"/>
  <c r="V49" i="36"/>
  <c r="AA49" i="36"/>
  <c r="W49" i="36"/>
  <c r="AB49" i="36"/>
  <c r="AE50" i="36"/>
  <c r="AC50" i="36"/>
  <c r="AD50" i="36"/>
  <c r="AG50" i="36"/>
  <c r="AH50" i="36"/>
  <c r="V50" i="36"/>
  <c r="AA50" i="36"/>
  <c r="W50" i="36"/>
  <c r="AB50" i="36"/>
  <c r="AE51" i="36"/>
  <c r="AC51" i="36"/>
  <c r="AD51" i="36"/>
  <c r="AG51" i="36"/>
  <c r="AH51" i="36"/>
  <c r="V51" i="36"/>
  <c r="AA51" i="36"/>
  <c r="W51" i="36"/>
  <c r="AB51" i="36"/>
  <c r="AE52" i="36"/>
  <c r="AC52" i="36"/>
  <c r="AD52" i="36"/>
  <c r="AG52" i="36"/>
  <c r="AH52" i="36"/>
  <c r="V52" i="36"/>
  <c r="AA52" i="36"/>
  <c r="W52" i="36"/>
  <c r="AB52" i="36"/>
  <c r="AE53" i="36"/>
  <c r="AC53" i="36"/>
  <c r="AD53" i="36"/>
  <c r="AG53" i="36"/>
  <c r="AH53" i="36"/>
  <c r="V53" i="36"/>
  <c r="AA53" i="36"/>
  <c r="W53" i="36"/>
  <c r="AB53" i="36"/>
  <c r="AE54" i="36"/>
  <c r="AC54" i="36"/>
  <c r="AD54" i="36"/>
  <c r="AG54" i="36"/>
  <c r="AH54" i="36"/>
  <c r="V54" i="36"/>
  <c r="AA54" i="36"/>
  <c r="W54" i="36"/>
  <c r="AB54" i="36"/>
  <c r="AE55" i="36"/>
  <c r="AC55" i="36"/>
  <c r="AD55" i="36"/>
  <c r="AG55" i="36"/>
  <c r="AH55" i="36"/>
  <c r="V55" i="36"/>
  <c r="AA55" i="36"/>
  <c r="W55" i="36"/>
  <c r="AB55" i="36"/>
  <c r="AE56" i="36"/>
  <c r="AC56" i="36"/>
  <c r="AD56" i="36"/>
  <c r="AG56" i="36"/>
  <c r="AH56" i="36"/>
  <c r="V56" i="36"/>
  <c r="AA56" i="36"/>
  <c r="W56" i="36"/>
  <c r="AB56" i="36"/>
  <c r="AE57" i="36"/>
  <c r="AC57" i="36"/>
  <c r="AD57" i="36"/>
  <c r="AG57" i="36"/>
  <c r="AH57" i="36"/>
  <c r="V57" i="36"/>
  <c r="AA57" i="36"/>
  <c r="W57" i="36"/>
  <c r="AB57" i="36"/>
  <c r="AE58" i="36"/>
  <c r="AC58" i="36"/>
  <c r="AD58" i="36"/>
  <c r="AG58" i="36"/>
  <c r="AH58" i="36"/>
  <c r="V58" i="36"/>
  <c r="AA58" i="36"/>
  <c r="W58" i="36"/>
  <c r="AB58" i="36"/>
  <c r="AE59" i="36"/>
  <c r="AC59" i="36"/>
  <c r="AD59" i="36"/>
  <c r="AG59" i="36"/>
  <c r="AH59" i="36"/>
  <c r="V59" i="36"/>
  <c r="AA59" i="36"/>
  <c r="W59" i="36"/>
  <c r="AB59" i="36"/>
  <c r="O46" i="16"/>
  <c r="P46" i="16"/>
  <c r="H118" i="16"/>
  <c r="J101" i="16"/>
  <c r="C118" i="16"/>
  <c r="C136" i="16"/>
  <c r="J16" i="16"/>
  <c r="G118" i="16"/>
  <c r="J118" i="16"/>
  <c r="B136" i="16"/>
  <c r="D136" i="16"/>
  <c r="E136" i="16"/>
  <c r="F136" i="16"/>
  <c r="G136" i="16"/>
  <c r="H136" i="16"/>
  <c r="I136" i="16"/>
  <c r="J136" i="16"/>
  <c r="AE62" i="36"/>
  <c r="AC62" i="36"/>
  <c r="AD62" i="36"/>
  <c r="AF62" i="36"/>
  <c r="AI62" i="36"/>
  <c r="AG62" i="36"/>
  <c r="AH62" i="36"/>
  <c r="AJ62" i="36"/>
  <c r="V62" i="36"/>
  <c r="AA62" i="36"/>
  <c r="W62" i="36"/>
  <c r="AB62" i="36"/>
  <c r="AK62" i="36"/>
  <c r="AE63" i="36"/>
  <c r="AC63" i="36"/>
  <c r="AD63" i="36"/>
  <c r="AF63" i="36"/>
  <c r="AI63" i="36"/>
  <c r="AG63" i="36"/>
  <c r="AH63" i="36"/>
  <c r="AJ63" i="36"/>
  <c r="V63" i="36"/>
  <c r="AA63" i="36"/>
  <c r="W63" i="36"/>
  <c r="AB63" i="36"/>
  <c r="AK63" i="36"/>
  <c r="AE64" i="36"/>
  <c r="AC64" i="36"/>
  <c r="AD64" i="36"/>
  <c r="AF64" i="36"/>
  <c r="AI64" i="36"/>
  <c r="AG64" i="36"/>
  <c r="AH64" i="36"/>
  <c r="AJ64" i="36"/>
  <c r="V64" i="36"/>
  <c r="AA64" i="36"/>
  <c r="W64" i="36"/>
  <c r="AB64" i="36"/>
  <c r="AK64" i="36"/>
  <c r="AE65" i="36"/>
  <c r="AC65" i="36"/>
  <c r="AD65" i="36"/>
  <c r="AF65" i="36"/>
  <c r="AI65" i="36"/>
  <c r="AG65" i="36"/>
  <c r="AH65" i="36"/>
  <c r="AJ65" i="36"/>
  <c r="V65" i="36"/>
  <c r="AA65" i="36"/>
  <c r="W65" i="36"/>
  <c r="AB65" i="36"/>
  <c r="AK65" i="36"/>
  <c r="AE66" i="36"/>
  <c r="AC66" i="36"/>
  <c r="AD66" i="36"/>
  <c r="AF66" i="36"/>
  <c r="AI66" i="36"/>
  <c r="AG66" i="36"/>
  <c r="AH66" i="36"/>
  <c r="AJ66" i="36"/>
  <c r="V66" i="36"/>
  <c r="AA66" i="36"/>
  <c r="W66" i="36"/>
  <c r="AB66" i="36"/>
  <c r="AK66" i="36"/>
  <c r="AE67" i="36"/>
  <c r="AC67" i="36"/>
  <c r="AD67" i="36"/>
  <c r="AF67" i="36"/>
  <c r="AI67" i="36"/>
  <c r="AG67" i="36"/>
  <c r="AH67" i="36"/>
  <c r="AJ67" i="36"/>
  <c r="V67" i="36"/>
  <c r="AA67" i="36"/>
  <c r="W67" i="36"/>
  <c r="AB67" i="36"/>
  <c r="AK67" i="36"/>
  <c r="AE68" i="36"/>
  <c r="AC68" i="36"/>
  <c r="AD68" i="36"/>
  <c r="AF68" i="36"/>
  <c r="AI68" i="36"/>
  <c r="AG68" i="36"/>
  <c r="AH68" i="36"/>
  <c r="AJ68" i="36"/>
  <c r="V68" i="36"/>
  <c r="AA68" i="36"/>
  <c r="W68" i="36"/>
  <c r="AB68" i="36"/>
  <c r="AK68" i="36"/>
  <c r="AE69" i="36"/>
  <c r="AC69" i="36"/>
  <c r="AD69" i="36"/>
  <c r="AF69" i="36"/>
  <c r="AI69" i="36"/>
  <c r="AG69" i="36"/>
  <c r="AH69" i="36"/>
  <c r="AJ69" i="36"/>
  <c r="V69" i="36"/>
  <c r="AA69" i="36"/>
  <c r="W69" i="36"/>
  <c r="AB69" i="36"/>
  <c r="AK69" i="36"/>
  <c r="AE70" i="36"/>
  <c r="AC70" i="36"/>
  <c r="AD70" i="36"/>
  <c r="AF70" i="36"/>
  <c r="AI70" i="36"/>
  <c r="AG70" i="36"/>
  <c r="AH70" i="36"/>
  <c r="AJ70" i="36"/>
  <c r="V70" i="36"/>
  <c r="AA70" i="36"/>
  <c r="W70" i="36"/>
  <c r="AB70" i="36"/>
  <c r="AK70" i="36"/>
  <c r="AE71" i="36"/>
  <c r="AC71" i="36"/>
  <c r="AD71" i="36"/>
  <c r="AF71" i="36"/>
  <c r="AI71" i="36"/>
  <c r="AG71" i="36"/>
  <c r="AH71" i="36"/>
  <c r="AJ71" i="36"/>
  <c r="V71" i="36"/>
  <c r="AA71" i="36"/>
  <c r="W71" i="36"/>
  <c r="AB71" i="36"/>
  <c r="AK71" i="36"/>
  <c r="AE72" i="36"/>
  <c r="AC72" i="36"/>
  <c r="AD72" i="36"/>
  <c r="AF72" i="36"/>
  <c r="AI72" i="36"/>
  <c r="AG72" i="36"/>
  <c r="AH72" i="36"/>
  <c r="AJ72" i="36"/>
  <c r="V72" i="36"/>
  <c r="AA72" i="36"/>
  <c r="W72" i="36"/>
  <c r="AB72" i="36"/>
  <c r="AK72" i="36"/>
  <c r="AE73" i="36"/>
  <c r="AC73" i="36"/>
  <c r="AD73" i="36"/>
  <c r="AF73" i="36"/>
  <c r="AI73" i="36"/>
  <c r="AG73" i="36"/>
  <c r="AH73" i="36"/>
  <c r="AJ73" i="36"/>
  <c r="V73" i="36"/>
  <c r="AA73" i="36"/>
  <c r="W73" i="36"/>
  <c r="AB73" i="36"/>
  <c r="AK73" i="36"/>
  <c r="AE74" i="36"/>
  <c r="AC74" i="36"/>
  <c r="AD74" i="36"/>
  <c r="AF74" i="36"/>
  <c r="AI74" i="36"/>
  <c r="AG74" i="36"/>
  <c r="AH74" i="36"/>
  <c r="AJ74" i="36"/>
  <c r="V74" i="36"/>
  <c r="AA74" i="36"/>
  <c r="W74" i="36"/>
  <c r="AB74" i="36"/>
  <c r="AK74" i="36"/>
  <c r="AE75" i="36"/>
  <c r="AC75" i="36"/>
  <c r="AD75" i="36"/>
  <c r="AF75" i="36"/>
  <c r="AI75" i="36"/>
  <c r="AG75" i="36"/>
  <c r="AH75" i="36"/>
  <c r="AJ75" i="36"/>
  <c r="V75" i="36"/>
  <c r="AA75" i="36"/>
  <c r="W75" i="36"/>
  <c r="AB75" i="36"/>
  <c r="AK75" i="36"/>
  <c r="AE76" i="36"/>
  <c r="AC76" i="36"/>
  <c r="AD76" i="36"/>
  <c r="AF76" i="36"/>
  <c r="AI76" i="36"/>
  <c r="AG76" i="36"/>
  <c r="AH76" i="36"/>
  <c r="AJ76" i="36"/>
  <c r="V76" i="36"/>
  <c r="AA76" i="36"/>
  <c r="W76" i="36"/>
  <c r="AB76" i="36"/>
  <c r="AK76" i="36"/>
  <c r="AE77" i="36"/>
  <c r="AC77" i="36"/>
  <c r="AD77" i="36"/>
  <c r="AF77" i="36"/>
  <c r="AI77" i="36"/>
  <c r="AG77" i="36"/>
  <c r="AH77" i="36"/>
  <c r="AJ77" i="36"/>
  <c r="V77" i="36"/>
  <c r="AA77" i="36"/>
  <c r="W77" i="36"/>
  <c r="AB77" i="36"/>
  <c r="AK77" i="36"/>
  <c r="AK78" i="36"/>
  <c r="AN11" i="36"/>
  <c r="T5" i="30"/>
  <c r="Q31" i="16"/>
  <c r="R31" i="16"/>
  <c r="AO11" i="36"/>
  <c r="AP11" i="36"/>
  <c r="O47" i="16"/>
  <c r="P47" i="16"/>
  <c r="H119" i="16"/>
  <c r="J102" i="16"/>
  <c r="C119" i="16"/>
  <c r="C137" i="16"/>
  <c r="J17" i="16"/>
  <c r="G119" i="16"/>
  <c r="J119" i="16"/>
  <c r="B137" i="16"/>
  <c r="D137" i="16"/>
  <c r="E137" i="16"/>
  <c r="F137" i="16"/>
  <c r="G137" i="16"/>
  <c r="H137" i="16"/>
  <c r="I137" i="16"/>
  <c r="J137" i="16"/>
  <c r="AE80" i="36"/>
  <c r="AC80" i="36"/>
  <c r="AD80" i="36"/>
  <c r="AF80" i="36"/>
  <c r="AI80" i="36"/>
  <c r="AG80" i="36"/>
  <c r="AH80" i="36"/>
  <c r="AJ80" i="36"/>
  <c r="V80" i="36"/>
  <c r="AA80" i="36"/>
  <c r="W80" i="36"/>
  <c r="AB80" i="36"/>
  <c r="AK80" i="36"/>
  <c r="AE81" i="36"/>
  <c r="AC81" i="36"/>
  <c r="AD81" i="36"/>
  <c r="AF81" i="36"/>
  <c r="AI81" i="36"/>
  <c r="AG81" i="36"/>
  <c r="AH81" i="36"/>
  <c r="AJ81" i="36"/>
  <c r="V81" i="36"/>
  <c r="AA81" i="36"/>
  <c r="W81" i="36"/>
  <c r="AB81" i="36"/>
  <c r="AK81" i="36"/>
  <c r="AE82" i="36"/>
  <c r="AC82" i="36"/>
  <c r="AD82" i="36"/>
  <c r="AF82" i="36"/>
  <c r="AI82" i="36"/>
  <c r="AG82" i="36"/>
  <c r="AH82" i="36"/>
  <c r="AJ82" i="36"/>
  <c r="V82" i="36"/>
  <c r="AA82" i="36"/>
  <c r="W82" i="36"/>
  <c r="AB82" i="36"/>
  <c r="AK82" i="36"/>
  <c r="AE83" i="36"/>
  <c r="AC83" i="36"/>
  <c r="AD83" i="36"/>
  <c r="AF83" i="36"/>
  <c r="AI83" i="36"/>
  <c r="AG83" i="36"/>
  <c r="AH83" i="36"/>
  <c r="AJ83" i="36"/>
  <c r="V83" i="36"/>
  <c r="AA83" i="36"/>
  <c r="W83" i="36"/>
  <c r="AB83" i="36"/>
  <c r="AK83" i="36"/>
  <c r="AE84" i="36"/>
  <c r="AC84" i="36"/>
  <c r="AD84" i="36"/>
  <c r="AF84" i="36"/>
  <c r="AI84" i="36"/>
  <c r="AG84" i="36"/>
  <c r="AH84" i="36"/>
  <c r="AJ84" i="36"/>
  <c r="V84" i="36"/>
  <c r="AA84" i="36"/>
  <c r="W84" i="36"/>
  <c r="AB84" i="36"/>
  <c r="AK84" i="36"/>
  <c r="AE85" i="36"/>
  <c r="AC85" i="36"/>
  <c r="AD85" i="36"/>
  <c r="AF85" i="36"/>
  <c r="AI85" i="36"/>
  <c r="AG85" i="36"/>
  <c r="AH85" i="36"/>
  <c r="AJ85" i="36"/>
  <c r="V85" i="36"/>
  <c r="AA85" i="36"/>
  <c r="W85" i="36"/>
  <c r="AB85" i="36"/>
  <c r="AK85" i="36"/>
  <c r="AE86" i="36"/>
  <c r="AC86" i="36"/>
  <c r="AD86" i="36"/>
  <c r="AF86" i="36"/>
  <c r="AI86" i="36"/>
  <c r="AG86" i="36"/>
  <c r="AH86" i="36"/>
  <c r="AJ86" i="36"/>
  <c r="V86" i="36"/>
  <c r="AA86" i="36"/>
  <c r="W86" i="36"/>
  <c r="AB86" i="36"/>
  <c r="AK86" i="36"/>
  <c r="AE87" i="36"/>
  <c r="AC87" i="36"/>
  <c r="AD87" i="36"/>
  <c r="AF87" i="36"/>
  <c r="AI87" i="36"/>
  <c r="AG87" i="36"/>
  <c r="AH87" i="36"/>
  <c r="AJ87" i="36"/>
  <c r="V87" i="36"/>
  <c r="AA87" i="36"/>
  <c r="W87" i="36"/>
  <c r="AB87" i="36"/>
  <c r="AK87" i="36"/>
  <c r="AE88" i="36"/>
  <c r="AC88" i="36"/>
  <c r="AD88" i="36"/>
  <c r="AF88" i="36"/>
  <c r="AI88" i="36"/>
  <c r="AG88" i="36"/>
  <c r="AH88" i="36"/>
  <c r="AJ88" i="36"/>
  <c r="V88" i="36"/>
  <c r="AA88" i="36"/>
  <c r="W88" i="36"/>
  <c r="AB88" i="36"/>
  <c r="AK88" i="36"/>
  <c r="AE89" i="36"/>
  <c r="AC89" i="36"/>
  <c r="AD89" i="36"/>
  <c r="AF89" i="36"/>
  <c r="AI89" i="36"/>
  <c r="AG89" i="36"/>
  <c r="AH89" i="36"/>
  <c r="AJ89" i="36"/>
  <c r="V89" i="36"/>
  <c r="AA89" i="36"/>
  <c r="W89" i="36"/>
  <c r="AB89" i="36"/>
  <c r="AK89" i="36"/>
  <c r="AE90" i="36"/>
  <c r="AC90" i="36"/>
  <c r="AD90" i="36"/>
  <c r="AF90" i="36"/>
  <c r="AI90" i="36"/>
  <c r="AG90" i="36"/>
  <c r="AH90" i="36"/>
  <c r="AJ90" i="36"/>
  <c r="V90" i="36"/>
  <c r="AA90" i="36"/>
  <c r="W90" i="36"/>
  <c r="AB90" i="36"/>
  <c r="AK90" i="36"/>
  <c r="AE91" i="36"/>
  <c r="AC91" i="36"/>
  <c r="AD91" i="36"/>
  <c r="AF91" i="36"/>
  <c r="AI91" i="36"/>
  <c r="AG91" i="36"/>
  <c r="AH91" i="36"/>
  <c r="AJ91" i="36"/>
  <c r="V91" i="36"/>
  <c r="AA91" i="36"/>
  <c r="W91" i="36"/>
  <c r="AB91" i="36"/>
  <c r="AK91" i="36"/>
  <c r="AE92" i="36"/>
  <c r="AC92" i="36"/>
  <c r="AD92" i="36"/>
  <c r="AF92" i="36"/>
  <c r="AI92" i="36"/>
  <c r="AG92" i="36"/>
  <c r="AH92" i="36"/>
  <c r="AJ92" i="36"/>
  <c r="V92" i="36"/>
  <c r="AA92" i="36"/>
  <c r="W92" i="36"/>
  <c r="AB92" i="36"/>
  <c r="AK92" i="36"/>
  <c r="AE93" i="36"/>
  <c r="AC93" i="36"/>
  <c r="AD93" i="36"/>
  <c r="AF93" i="36"/>
  <c r="AI93" i="36"/>
  <c r="AG93" i="36"/>
  <c r="AH93" i="36"/>
  <c r="AJ93" i="36"/>
  <c r="V93" i="36"/>
  <c r="AA93" i="36"/>
  <c r="W93" i="36"/>
  <c r="AB93" i="36"/>
  <c r="AK93" i="36"/>
  <c r="AE94" i="36"/>
  <c r="AC94" i="36"/>
  <c r="AD94" i="36"/>
  <c r="AF94" i="36"/>
  <c r="AI94" i="36"/>
  <c r="AG94" i="36"/>
  <c r="AH94" i="36"/>
  <c r="AJ94" i="36"/>
  <c r="V94" i="36"/>
  <c r="AA94" i="36"/>
  <c r="W94" i="36"/>
  <c r="AB94" i="36"/>
  <c r="AK94" i="36"/>
  <c r="AE95" i="36"/>
  <c r="AC95" i="36"/>
  <c r="AD95" i="36"/>
  <c r="AF95" i="36"/>
  <c r="AI95" i="36"/>
  <c r="AG95" i="36"/>
  <c r="AH95" i="36"/>
  <c r="AJ95" i="36"/>
  <c r="V95" i="36"/>
  <c r="AA95" i="36"/>
  <c r="W95" i="36"/>
  <c r="AB95" i="36"/>
  <c r="AK95" i="36"/>
  <c r="AK96" i="36"/>
  <c r="AN12" i="36"/>
  <c r="U5" i="30"/>
  <c r="Q32" i="16"/>
  <c r="R32" i="16"/>
  <c r="AO12" i="36"/>
  <c r="AP12" i="36"/>
  <c r="O48" i="16"/>
  <c r="P48" i="16"/>
  <c r="H120" i="16"/>
  <c r="J103" i="16"/>
  <c r="C120" i="16"/>
  <c r="C138" i="16"/>
  <c r="J18" i="16"/>
  <c r="G120" i="16"/>
  <c r="J120" i="16"/>
  <c r="B138" i="16"/>
  <c r="D138" i="16"/>
  <c r="E138" i="16"/>
  <c r="F138" i="16"/>
  <c r="G138" i="16"/>
  <c r="H138" i="16"/>
  <c r="I138" i="16"/>
  <c r="J138" i="16"/>
  <c r="AE98" i="36"/>
  <c r="AC98" i="36"/>
  <c r="AD98" i="36"/>
  <c r="AF98" i="36"/>
  <c r="AI98" i="36"/>
  <c r="AG98" i="36"/>
  <c r="AH98" i="36"/>
  <c r="AJ98" i="36"/>
  <c r="V98" i="36"/>
  <c r="AA98" i="36"/>
  <c r="W98" i="36"/>
  <c r="AB98" i="36"/>
  <c r="AK98" i="36"/>
  <c r="AE99" i="36"/>
  <c r="AC99" i="36"/>
  <c r="AD99" i="36"/>
  <c r="AF99" i="36"/>
  <c r="AI99" i="36"/>
  <c r="AG99" i="36"/>
  <c r="AH99" i="36"/>
  <c r="AJ99" i="36"/>
  <c r="V99" i="36"/>
  <c r="AA99" i="36"/>
  <c r="W99" i="36"/>
  <c r="AB99" i="36"/>
  <c r="AK99" i="36"/>
  <c r="AE100" i="36"/>
  <c r="AC100" i="36"/>
  <c r="AD100" i="36"/>
  <c r="AF100" i="36"/>
  <c r="AI100" i="36"/>
  <c r="AG100" i="36"/>
  <c r="AH100" i="36"/>
  <c r="AJ100" i="36"/>
  <c r="V100" i="36"/>
  <c r="AA100" i="36"/>
  <c r="W100" i="36"/>
  <c r="AB100" i="36"/>
  <c r="AK100" i="36"/>
  <c r="AE101" i="36"/>
  <c r="AC101" i="36"/>
  <c r="AD101" i="36"/>
  <c r="AF101" i="36"/>
  <c r="AI101" i="36"/>
  <c r="AG101" i="36"/>
  <c r="AH101" i="36"/>
  <c r="AJ101" i="36"/>
  <c r="V101" i="36"/>
  <c r="AA101" i="36"/>
  <c r="W101" i="36"/>
  <c r="AB101" i="36"/>
  <c r="AK101" i="36"/>
  <c r="AE102" i="36"/>
  <c r="AC102" i="36"/>
  <c r="AD102" i="36"/>
  <c r="AF102" i="36"/>
  <c r="AI102" i="36"/>
  <c r="AG102" i="36"/>
  <c r="AH102" i="36"/>
  <c r="AJ102" i="36"/>
  <c r="V102" i="36"/>
  <c r="AA102" i="36"/>
  <c r="W102" i="36"/>
  <c r="AB102" i="36"/>
  <c r="AK102" i="36"/>
  <c r="AE103" i="36"/>
  <c r="AC103" i="36"/>
  <c r="AD103" i="36"/>
  <c r="AF103" i="36"/>
  <c r="AI103" i="36"/>
  <c r="AG103" i="36"/>
  <c r="AH103" i="36"/>
  <c r="AJ103" i="36"/>
  <c r="V103" i="36"/>
  <c r="AA103" i="36"/>
  <c r="W103" i="36"/>
  <c r="AB103" i="36"/>
  <c r="AK103" i="36"/>
  <c r="AE104" i="36"/>
  <c r="AC104" i="36"/>
  <c r="AD104" i="36"/>
  <c r="AF104" i="36"/>
  <c r="AI104" i="36"/>
  <c r="AG104" i="36"/>
  <c r="AH104" i="36"/>
  <c r="AJ104" i="36"/>
  <c r="V104" i="36"/>
  <c r="AA104" i="36"/>
  <c r="W104" i="36"/>
  <c r="AB104" i="36"/>
  <c r="AK104" i="36"/>
  <c r="AE105" i="36"/>
  <c r="AC105" i="36"/>
  <c r="AD105" i="36"/>
  <c r="AF105" i="36"/>
  <c r="AI105" i="36"/>
  <c r="AG105" i="36"/>
  <c r="AH105" i="36"/>
  <c r="AJ105" i="36"/>
  <c r="V105" i="36"/>
  <c r="AA105" i="36"/>
  <c r="W105" i="36"/>
  <c r="AB105" i="36"/>
  <c r="AK105" i="36"/>
  <c r="AE106" i="36"/>
  <c r="AC106" i="36"/>
  <c r="AD106" i="36"/>
  <c r="AF106" i="36"/>
  <c r="AI106" i="36"/>
  <c r="AG106" i="36"/>
  <c r="AH106" i="36"/>
  <c r="AJ106" i="36"/>
  <c r="V106" i="36"/>
  <c r="AA106" i="36"/>
  <c r="W106" i="36"/>
  <c r="AB106" i="36"/>
  <c r="AK106" i="36"/>
  <c r="AE107" i="36"/>
  <c r="AC107" i="36"/>
  <c r="AD107" i="36"/>
  <c r="AF107" i="36"/>
  <c r="AI107" i="36"/>
  <c r="AG107" i="36"/>
  <c r="AH107" i="36"/>
  <c r="AJ107" i="36"/>
  <c r="V107" i="36"/>
  <c r="AA107" i="36"/>
  <c r="W107" i="36"/>
  <c r="AB107" i="36"/>
  <c r="AK107" i="36"/>
  <c r="AE108" i="36"/>
  <c r="AC108" i="36"/>
  <c r="AD108" i="36"/>
  <c r="AF108" i="36"/>
  <c r="AI108" i="36"/>
  <c r="AG108" i="36"/>
  <c r="AH108" i="36"/>
  <c r="AJ108" i="36"/>
  <c r="V108" i="36"/>
  <c r="AA108" i="36"/>
  <c r="W108" i="36"/>
  <c r="AB108" i="36"/>
  <c r="AK108" i="36"/>
  <c r="AE109" i="36"/>
  <c r="AC109" i="36"/>
  <c r="AD109" i="36"/>
  <c r="AF109" i="36"/>
  <c r="AI109" i="36"/>
  <c r="AG109" i="36"/>
  <c r="AH109" i="36"/>
  <c r="AJ109" i="36"/>
  <c r="V109" i="36"/>
  <c r="AA109" i="36"/>
  <c r="W109" i="36"/>
  <c r="AB109" i="36"/>
  <c r="AK109" i="36"/>
  <c r="AE110" i="36"/>
  <c r="AC110" i="36"/>
  <c r="AD110" i="36"/>
  <c r="AF110" i="36"/>
  <c r="AI110" i="36"/>
  <c r="AG110" i="36"/>
  <c r="AH110" i="36"/>
  <c r="AJ110" i="36"/>
  <c r="V110" i="36"/>
  <c r="AA110" i="36"/>
  <c r="W110" i="36"/>
  <c r="AB110" i="36"/>
  <c r="AK110" i="36"/>
  <c r="AE111" i="36"/>
  <c r="AC111" i="36"/>
  <c r="AD111" i="36"/>
  <c r="AF111" i="36"/>
  <c r="AI111" i="36"/>
  <c r="AG111" i="36"/>
  <c r="AH111" i="36"/>
  <c r="AJ111" i="36"/>
  <c r="V111" i="36"/>
  <c r="AA111" i="36"/>
  <c r="W111" i="36"/>
  <c r="AB111" i="36"/>
  <c r="AK111" i="36"/>
  <c r="AE112" i="36"/>
  <c r="AC112" i="36"/>
  <c r="AD112" i="36"/>
  <c r="AF112" i="36"/>
  <c r="AI112" i="36"/>
  <c r="AG112" i="36"/>
  <c r="AH112" i="36"/>
  <c r="AJ112" i="36"/>
  <c r="V112" i="36"/>
  <c r="AA112" i="36"/>
  <c r="W112" i="36"/>
  <c r="AB112" i="36"/>
  <c r="AK112" i="36"/>
  <c r="AE113" i="36"/>
  <c r="AC113" i="36"/>
  <c r="AD113" i="36"/>
  <c r="AF113" i="36"/>
  <c r="AI113" i="36"/>
  <c r="AG113" i="36"/>
  <c r="AH113" i="36"/>
  <c r="AJ113" i="36"/>
  <c r="V113" i="36"/>
  <c r="AA113" i="36"/>
  <c r="W113" i="36"/>
  <c r="AB113" i="36"/>
  <c r="AK113" i="36"/>
  <c r="AK114" i="36"/>
  <c r="AN13" i="36"/>
  <c r="V5" i="30"/>
  <c r="Q33" i="16"/>
  <c r="R33" i="16"/>
  <c r="AO13" i="36"/>
  <c r="AP13" i="36"/>
  <c r="O49" i="16"/>
  <c r="P49" i="16"/>
  <c r="H121" i="16"/>
  <c r="J104" i="16"/>
  <c r="C121" i="16"/>
  <c r="C139" i="16"/>
  <c r="J19" i="16"/>
  <c r="G121" i="16"/>
  <c r="J121" i="16"/>
  <c r="B139" i="16"/>
  <c r="D139" i="16"/>
  <c r="E139" i="16"/>
  <c r="F139" i="16"/>
  <c r="G139" i="16"/>
  <c r="H139" i="16"/>
  <c r="I139" i="16"/>
  <c r="J139" i="16"/>
  <c r="AE116" i="36"/>
  <c r="AC116" i="36"/>
  <c r="AD116" i="36"/>
  <c r="AF116" i="36"/>
  <c r="AI116" i="36"/>
  <c r="AG116" i="36"/>
  <c r="AH116" i="36"/>
  <c r="AJ116" i="36"/>
  <c r="V116" i="36"/>
  <c r="AA116" i="36"/>
  <c r="W116" i="36"/>
  <c r="AB116" i="36"/>
  <c r="AK116" i="36"/>
  <c r="AE117" i="36"/>
  <c r="AC117" i="36"/>
  <c r="AD117" i="36"/>
  <c r="AF117" i="36"/>
  <c r="AI117" i="36"/>
  <c r="AG117" i="36"/>
  <c r="AH117" i="36"/>
  <c r="AJ117" i="36"/>
  <c r="V117" i="36"/>
  <c r="AA117" i="36"/>
  <c r="W117" i="36"/>
  <c r="AB117" i="36"/>
  <c r="AK117" i="36"/>
  <c r="AE118" i="36"/>
  <c r="AC118" i="36"/>
  <c r="AD118" i="36"/>
  <c r="AF118" i="36"/>
  <c r="AI118" i="36"/>
  <c r="AG118" i="36"/>
  <c r="AH118" i="36"/>
  <c r="AJ118" i="36"/>
  <c r="V118" i="36"/>
  <c r="AA118" i="36"/>
  <c r="W118" i="36"/>
  <c r="AB118" i="36"/>
  <c r="AK118" i="36"/>
  <c r="AE119" i="36"/>
  <c r="AC119" i="36"/>
  <c r="AD119" i="36"/>
  <c r="AF119" i="36"/>
  <c r="AI119" i="36"/>
  <c r="AG119" i="36"/>
  <c r="AH119" i="36"/>
  <c r="AJ119" i="36"/>
  <c r="V119" i="36"/>
  <c r="AA119" i="36"/>
  <c r="W119" i="36"/>
  <c r="AB119" i="36"/>
  <c r="AK119" i="36"/>
  <c r="AE120" i="36"/>
  <c r="AC120" i="36"/>
  <c r="AD120" i="36"/>
  <c r="AF120" i="36"/>
  <c r="AI120" i="36"/>
  <c r="AG120" i="36"/>
  <c r="AH120" i="36"/>
  <c r="AJ120" i="36"/>
  <c r="V120" i="36"/>
  <c r="AA120" i="36"/>
  <c r="W120" i="36"/>
  <c r="AB120" i="36"/>
  <c r="AK120" i="36"/>
  <c r="AE121" i="36"/>
  <c r="AC121" i="36"/>
  <c r="AD121" i="36"/>
  <c r="AF121" i="36"/>
  <c r="AI121" i="36"/>
  <c r="AG121" i="36"/>
  <c r="AH121" i="36"/>
  <c r="AJ121" i="36"/>
  <c r="V121" i="36"/>
  <c r="AA121" i="36"/>
  <c r="W121" i="36"/>
  <c r="AB121" i="36"/>
  <c r="AK121" i="36"/>
  <c r="AE122" i="36"/>
  <c r="AC122" i="36"/>
  <c r="AD122" i="36"/>
  <c r="AF122" i="36"/>
  <c r="AI122" i="36"/>
  <c r="AG122" i="36"/>
  <c r="AH122" i="36"/>
  <c r="AJ122" i="36"/>
  <c r="V122" i="36"/>
  <c r="AA122" i="36"/>
  <c r="W122" i="36"/>
  <c r="AB122" i="36"/>
  <c r="AK122" i="36"/>
  <c r="AE123" i="36"/>
  <c r="AC123" i="36"/>
  <c r="AD123" i="36"/>
  <c r="AF123" i="36"/>
  <c r="AI123" i="36"/>
  <c r="AG123" i="36"/>
  <c r="AH123" i="36"/>
  <c r="AJ123" i="36"/>
  <c r="V123" i="36"/>
  <c r="AA123" i="36"/>
  <c r="W123" i="36"/>
  <c r="AB123" i="36"/>
  <c r="AK123" i="36"/>
  <c r="AE124" i="36"/>
  <c r="AC124" i="36"/>
  <c r="AD124" i="36"/>
  <c r="AF124" i="36"/>
  <c r="AI124" i="36"/>
  <c r="AG124" i="36"/>
  <c r="AH124" i="36"/>
  <c r="AJ124" i="36"/>
  <c r="V124" i="36"/>
  <c r="AA124" i="36"/>
  <c r="W124" i="36"/>
  <c r="AB124" i="36"/>
  <c r="AK124" i="36"/>
  <c r="AE125" i="36"/>
  <c r="AC125" i="36"/>
  <c r="AD125" i="36"/>
  <c r="AF125" i="36"/>
  <c r="AI125" i="36"/>
  <c r="AG125" i="36"/>
  <c r="AH125" i="36"/>
  <c r="AJ125" i="36"/>
  <c r="V125" i="36"/>
  <c r="AA125" i="36"/>
  <c r="W125" i="36"/>
  <c r="AB125" i="36"/>
  <c r="AK125" i="36"/>
  <c r="AE126" i="36"/>
  <c r="AC126" i="36"/>
  <c r="AD126" i="36"/>
  <c r="AF126" i="36"/>
  <c r="AI126" i="36"/>
  <c r="AG126" i="36"/>
  <c r="AH126" i="36"/>
  <c r="AJ126" i="36"/>
  <c r="V126" i="36"/>
  <c r="AA126" i="36"/>
  <c r="W126" i="36"/>
  <c r="AB126" i="36"/>
  <c r="AK126" i="36"/>
  <c r="AE127" i="36"/>
  <c r="AC127" i="36"/>
  <c r="AD127" i="36"/>
  <c r="AF127" i="36"/>
  <c r="AI127" i="36"/>
  <c r="AG127" i="36"/>
  <c r="AH127" i="36"/>
  <c r="AJ127" i="36"/>
  <c r="V127" i="36"/>
  <c r="AA127" i="36"/>
  <c r="W127" i="36"/>
  <c r="AB127" i="36"/>
  <c r="AK127" i="36"/>
  <c r="AE128" i="36"/>
  <c r="AC128" i="36"/>
  <c r="AD128" i="36"/>
  <c r="AF128" i="36"/>
  <c r="AI128" i="36"/>
  <c r="AG128" i="36"/>
  <c r="AH128" i="36"/>
  <c r="AJ128" i="36"/>
  <c r="V128" i="36"/>
  <c r="AA128" i="36"/>
  <c r="W128" i="36"/>
  <c r="AB128" i="36"/>
  <c r="AK128" i="36"/>
  <c r="AE129" i="36"/>
  <c r="AC129" i="36"/>
  <c r="AD129" i="36"/>
  <c r="AF129" i="36"/>
  <c r="AI129" i="36"/>
  <c r="AG129" i="36"/>
  <c r="AH129" i="36"/>
  <c r="AJ129" i="36"/>
  <c r="V129" i="36"/>
  <c r="AA129" i="36"/>
  <c r="W129" i="36"/>
  <c r="AB129" i="36"/>
  <c r="AK129" i="36"/>
  <c r="AE130" i="36"/>
  <c r="AC130" i="36"/>
  <c r="AD130" i="36"/>
  <c r="AF130" i="36"/>
  <c r="AI130" i="36"/>
  <c r="AG130" i="36"/>
  <c r="AH130" i="36"/>
  <c r="AJ130" i="36"/>
  <c r="V130" i="36"/>
  <c r="AA130" i="36"/>
  <c r="W130" i="36"/>
  <c r="AB130" i="36"/>
  <c r="AK130" i="36"/>
  <c r="AE131" i="36"/>
  <c r="AC131" i="36"/>
  <c r="AD131" i="36"/>
  <c r="AF131" i="36"/>
  <c r="AI131" i="36"/>
  <c r="AG131" i="36"/>
  <c r="AH131" i="36"/>
  <c r="AJ131" i="36"/>
  <c r="V131" i="36"/>
  <c r="AA131" i="36"/>
  <c r="W131" i="36"/>
  <c r="AB131" i="36"/>
  <c r="AK131" i="36"/>
  <c r="AK132" i="36"/>
  <c r="AN14" i="36"/>
  <c r="W5" i="30"/>
  <c r="Q34" i="16"/>
  <c r="R34" i="16"/>
  <c r="AO14" i="36"/>
  <c r="AP14" i="36"/>
  <c r="O50" i="16"/>
  <c r="P50" i="16"/>
  <c r="H122" i="16"/>
  <c r="J105" i="16"/>
  <c r="C122" i="16"/>
  <c r="C140" i="16"/>
  <c r="J20" i="16"/>
  <c r="G122" i="16"/>
  <c r="J122" i="16"/>
  <c r="B140" i="16"/>
  <c r="D140" i="16"/>
  <c r="E140" i="16"/>
  <c r="F140" i="16"/>
  <c r="G140" i="16"/>
  <c r="H140" i="16"/>
  <c r="I140" i="16"/>
  <c r="J140" i="16"/>
  <c r="AE134" i="36"/>
  <c r="AC134" i="36"/>
  <c r="AD134" i="36"/>
  <c r="AF134" i="36"/>
  <c r="AI134" i="36"/>
  <c r="AG134" i="36"/>
  <c r="AH134" i="36"/>
  <c r="AJ134" i="36"/>
  <c r="V134" i="36"/>
  <c r="AA134" i="36"/>
  <c r="W134" i="36"/>
  <c r="AB134" i="36"/>
  <c r="AK134" i="36"/>
  <c r="AE135" i="36"/>
  <c r="AC135" i="36"/>
  <c r="AD135" i="36"/>
  <c r="AF135" i="36"/>
  <c r="AI135" i="36"/>
  <c r="AG135" i="36"/>
  <c r="AH135" i="36"/>
  <c r="AJ135" i="36"/>
  <c r="V135" i="36"/>
  <c r="AA135" i="36"/>
  <c r="W135" i="36"/>
  <c r="AB135" i="36"/>
  <c r="AK135" i="36"/>
  <c r="AE136" i="36"/>
  <c r="AC136" i="36"/>
  <c r="AD136" i="36"/>
  <c r="AF136" i="36"/>
  <c r="AI136" i="36"/>
  <c r="AG136" i="36"/>
  <c r="AH136" i="36"/>
  <c r="AJ136" i="36"/>
  <c r="V136" i="36"/>
  <c r="AA136" i="36"/>
  <c r="W136" i="36"/>
  <c r="AB136" i="36"/>
  <c r="AK136" i="36"/>
  <c r="AE137" i="36"/>
  <c r="AC137" i="36"/>
  <c r="AD137" i="36"/>
  <c r="AF137" i="36"/>
  <c r="AI137" i="36"/>
  <c r="AG137" i="36"/>
  <c r="AH137" i="36"/>
  <c r="AJ137" i="36"/>
  <c r="V137" i="36"/>
  <c r="AA137" i="36"/>
  <c r="W137" i="36"/>
  <c r="AB137" i="36"/>
  <c r="AK137" i="36"/>
  <c r="AE138" i="36"/>
  <c r="AC138" i="36"/>
  <c r="AD138" i="36"/>
  <c r="AF138" i="36"/>
  <c r="AI138" i="36"/>
  <c r="AG138" i="36"/>
  <c r="AH138" i="36"/>
  <c r="AJ138" i="36"/>
  <c r="V138" i="36"/>
  <c r="AA138" i="36"/>
  <c r="W138" i="36"/>
  <c r="AB138" i="36"/>
  <c r="AK138" i="36"/>
  <c r="AE139" i="36"/>
  <c r="AC139" i="36"/>
  <c r="AD139" i="36"/>
  <c r="AF139" i="36"/>
  <c r="AI139" i="36"/>
  <c r="AG139" i="36"/>
  <c r="AH139" i="36"/>
  <c r="AJ139" i="36"/>
  <c r="V139" i="36"/>
  <c r="AA139" i="36"/>
  <c r="W139" i="36"/>
  <c r="AB139" i="36"/>
  <c r="AK139" i="36"/>
  <c r="AE140" i="36"/>
  <c r="AC140" i="36"/>
  <c r="AD140" i="36"/>
  <c r="AF140" i="36"/>
  <c r="AI140" i="36"/>
  <c r="AG140" i="36"/>
  <c r="AH140" i="36"/>
  <c r="AJ140" i="36"/>
  <c r="V140" i="36"/>
  <c r="AA140" i="36"/>
  <c r="W140" i="36"/>
  <c r="AB140" i="36"/>
  <c r="AK140" i="36"/>
  <c r="AE141" i="36"/>
  <c r="AC141" i="36"/>
  <c r="AD141" i="36"/>
  <c r="AF141" i="36"/>
  <c r="AI141" i="36"/>
  <c r="AG141" i="36"/>
  <c r="AH141" i="36"/>
  <c r="AJ141" i="36"/>
  <c r="V141" i="36"/>
  <c r="AA141" i="36"/>
  <c r="W141" i="36"/>
  <c r="AB141" i="36"/>
  <c r="AK141" i="36"/>
  <c r="AE142" i="36"/>
  <c r="AC142" i="36"/>
  <c r="AD142" i="36"/>
  <c r="AF142" i="36"/>
  <c r="AI142" i="36"/>
  <c r="AG142" i="36"/>
  <c r="AH142" i="36"/>
  <c r="AJ142" i="36"/>
  <c r="V142" i="36"/>
  <c r="AA142" i="36"/>
  <c r="W142" i="36"/>
  <c r="AB142" i="36"/>
  <c r="AK142" i="36"/>
  <c r="AE143" i="36"/>
  <c r="AC143" i="36"/>
  <c r="AD143" i="36"/>
  <c r="AF143" i="36"/>
  <c r="AI143" i="36"/>
  <c r="AG143" i="36"/>
  <c r="AH143" i="36"/>
  <c r="AJ143" i="36"/>
  <c r="V143" i="36"/>
  <c r="AA143" i="36"/>
  <c r="W143" i="36"/>
  <c r="AB143" i="36"/>
  <c r="AK143" i="36"/>
  <c r="AE144" i="36"/>
  <c r="AC144" i="36"/>
  <c r="AD144" i="36"/>
  <c r="AF144" i="36"/>
  <c r="AI144" i="36"/>
  <c r="AG144" i="36"/>
  <c r="AH144" i="36"/>
  <c r="AJ144" i="36"/>
  <c r="V144" i="36"/>
  <c r="AA144" i="36"/>
  <c r="W144" i="36"/>
  <c r="AB144" i="36"/>
  <c r="AK144" i="36"/>
  <c r="AE145" i="36"/>
  <c r="AC145" i="36"/>
  <c r="AD145" i="36"/>
  <c r="AF145" i="36"/>
  <c r="AI145" i="36"/>
  <c r="AG145" i="36"/>
  <c r="AH145" i="36"/>
  <c r="AJ145" i="36"/>
  <c r="V145" i="36"/>
  <c r="AA145" i="36"/>
  <c r="W145" i="36"/>
  <c r="AB145" i="36"/>
  <c r="AK145" i="36"/>
  <c r="AE146" i="36"/>
  <c r="AC146" i="36"/>
  <c r="AD146" i="36"/>
  <c r="AF146" i="36"/>
  <c r="AI146" i="36"/>
  <c r="AG146" i="36"/>
  <c r="AH146" i="36"/>
  <c r="AJ146" i="36"/>
  <c r="V146" i="36"/>
  <c r="AA146" i="36"/>
  <c r="W146" i="36"/>
  <c r="AB146" i="36"/>
  <c r="AK146" i="36"/>
  <c r="AE147" i="36"/>
  <c r="AC147" i="36"/>
  <c r="AD147" i="36"/>
  <c r="AF147" i="36"/>
  <c r="AI147" i="36"/>
  <c r="AG147" i="36"/>
  <c r="AH147" i="36"/>
  <c r="AJ147" i="36"/>
  <c r="V147" i="36"/>
  <c r="AA147" i="36"/>
  <c r="W147" i="36"/>
  <c r="AB147" i="36"/>
  <c r="AK147" i="36"/>
  <c r="AE148" i="36"/>
  <c r="AC148" i="36"/>
  <c r="AD148" i="36"/>
  <c r="AF148" i="36"/>
  <c r="AI148" i="36"/>
  <c r="AG148" i="36"/>
  <c r="AH148" i="36"/>
  <c r="AJ148" i="36"/>
  <c r="V148" i="36"/>
  <c r="AA148" i="36"/>
  <c r="W148" i="36"/>
  <c r="AB148" i="36"/>
  <c r="AK148" i="36"/>
  <c r="AE149" i="36"/>
  <c r="AC149" i="36"/>
  <c r="AD149" i="36"/>
  <c r="AF149" i="36"/>
  <c r="AI149" i="36"/>
  <c r="AG149" i="36"/>
  <c r="AH149" i="36"/>
  <c r="AJ149" i="36"/>
  <c r="V149" i="36"/>
  <c r="AA149" i="36"/>
  <c r="W149" i="36"/>
  <c r="AB149" i="36"/>
  <c r="AK149" i="36"/>
  <c r="AK150" i="36"/>
  <c r="AN15" i="36"/>
  <c r="X5" i="30"/>
  <c r="Q35" i="16"/>
  <c r="R35" i="16"/>
  <c r="AO15" i="36"/>
  <c r="AP15" i="36"/>
  <c r="O51" i="16"/>
  <c r="P51" i="16"/>
  <c r="H123" i="16"/>
  <c r="J106" i="16"/>
  <c r="C123" i="16"/>
  <c r="C141" i="16"/>
  <c r="J21" i="16"/>
  <c r="G123" i="16"/>
  <c r="J123" i="16"/>
  <c r="B141" i="16"/>
  <c r="D141" i="16"/>
  <c r="E141" i="16"/>
  <c r="F141" i="16"/>
  <c r="G141" i="16"/>
  <c r="H141" i="16"/>
  <c r="I141" i="16"/>
  <c r="J141" i="16"/>
  <c r="AE152" i="36"/>
  <c r="AC152" i="36"/>
  <c r="AD152" i="36"/>
  <c r="AF152" i="36"/>
  <c r="AI152" i="36"/>
  <c r="AG152" i="36"/>
  <c r="AH152" i="36"/>
  <c r="AJ152" i="36"/>
  <c r="V152" i="36"/>
  <c r="AA152" i="36"/>
  <c r="W152" i="36"/>
  <c r="AB152" i="36"/>
  <c r="AK152" i="36"/>
  <c r="AE153" i="36"/>
  <c r="AC153" i="36"/>
  <c r="AD153" i="36"/>
  <c r="AF153" i="36"/>
  <c r="AI153" i="36"/>
  <c r="AG153" i="36"/>
  <c r="AH153" i="36"/>
  <c r="AJ153" i="36"/>
  <c r="V153" i="36"/>
  <c r="AA153" i="36"/>
  <c r="W153" i="36"/>
  <c r="AB153" i="36"/>
  <c r="AK153" i="36"/>
  <c r="AE154" i="36"/>
  <c r="AC154" i="36"/>
  <c r="AD154" i="36"/>
  <c r="AF154" i="36"/>
  <c r="AI154" i="36"/>
  <c r="AG154" i="36"/>
  <c r="AH154" i="36"/>
  <c r="AJ154" i="36"/>
  <c r="V154" i="36"/>
  <c r="AA154" i="36"/>
  <c r="W154" i="36"/>
  <c r="AB154" i="36"/>
  <c r="AK154" i="36"/>
  <c r="AE155" i="36"/>
  <c r="AC155" i="36"/>
  <c r="AD155" i="36"/>
  <c r="AF155" i="36"/>
  <c r="AI155" i="36"/>
  <c r="AG155" i="36"/>
  <c r="AH155" i="36"/>
  <c r="AJ155" i="36"/>
  <c r="V155" i="36"/>
  <c r="AA155" i="36"/>
  <c r="W155" i="36"/>
  <c r="AB155" i="36"/>
  <c r="AK155" i="36"/>
  <c r="AE156" i="36"/>
  <c r="AC156" i="36"/>
  <c r="AD156" i="36"/>
  <c r="AF156" i="36"/>
  <c r="AI156" i="36"/>
  <c r="AG156" i="36"/>
  <c r="AH156" i="36"/>
  <c r="AJ156" i="36"/>
  <c r="V156" i="36"/>
  <c r="AA156" i="36"/>
  <c r="W156" i="36"/>
  <c r="AB156" i="36"/>
  <c r="AK156" i="36"/>
  <c r="AE157" i="36"/>
  <c r="AC157" i="36"/>
  <c r="AD157" i="36"/>
  <c r="AF157" i="36"/>
  <c r="AI157" i="36"/>
  <c r="AG157" i="36"/>
  <c r="AH157" i="36"/>
  <c r="AJ157" i="36"/>
  <c r="V157" i="36"/>
  <c r="AA157" i="36"/>
  <c r="W157" i="36"/>
  <c r="AB157" i="36"/>
  <c r="AK157" i="36"/>
  <c r="AE158" i="36"/>
  <c r="AC158" i="36"/>
  <c r="AD158" i="36"/>
  <c r="AF158" i="36"/>
  <c r="AI158" i="36"/>
  <c r="AG158" i="36"/>
  <c r="AH158" i="36"/>
  <c r="AJ158" i="36"/>
  <c r="V158" i="36"/>
  <c r="AA158" i="36"/>
  <c r="W158" i="36"/>
  <c r="AB158" i="36"/>
  <c r="AK158" i="36"/>
  <c r="AE159" i="36"/>
  <c r="AC159" i="36"/>
  <c r="AD159" i="36"/>
  <c r="AF159" i="36"/>
  <c r="AI159" i="36"/>
  <c r="AG159" i="36"/>
  <c r="AH159" i="36"/>
  <c r="AJ159" i="36"/>
  <c r="V159" i="36"/>
  <c r="AA159" i="36"/>
  <c r="W159" i="36"/>
  <c r="AB159" i="36"/>
  <c r="AK159" i="36"/>
  <c r="AE160" i="36"/>
  <c r="AC160" i="36"/>
  <c r="AD160" i="36"/>
  <c r="AF160" i="36"/>
  <c r="AI160" i="36"/>
  <c r="AG160" i="36"/>
  <c r="AH160" i="36"/>
  <c r="AJ160" i="36"/>
  <c r="V160" i="36"/>
  <c r="AA160" i="36"/>
  <c r="W160" i="36"/>
  <c r="AB160" i="36"/>
  <c r="AK160" i="36"/>
  <c r="AE161" i="36"/>
  <c r="AC161" i="36"/>
  <c r="AD161" i="36"/>
  <c r="AF161" i="36"/>
  <c r="AI161" i="36"/>
  <c r="AG161" i="36"/>
  <c r="AH161" i="36"/>
  <c r="AJ161" i="36"/>
  <c r="V161" i="36"/>
  <c r="AA161" i="36"/>
  <c r="W161" i="36"/>
  <c r="AB161" i="36"/>
  <c r="AK161" i="36"/>
  <c r="AE162" i="36"/>
  <c r="AC162" i="36"/>
  <c r="AD162" i="36"/>
  <c r="AF162" i="36"/>
  <c r="AI162" i="36"/>
  <c r="AG162" i="36"/>
  <c r="AH162" i="36"/>
  <c r="AJ162" i="36"/>
  <c r="V162" i="36"/>
  <c r="AA162" i="36"/>
  <c r="W162" i="36"/>
  <c r="AB162" i="36"/>
  <c r="AK162" i="36"/>
  <c r="AE163" i="36"/>
  <c r="AC163" i="36"/>
  <c r="AD163" i="36"/>
  <c r="AF163" i="36"/>
  <c r="AI163" i="36"/>
  <c r="AG163" i="36"/>
  <c r="AH163" i="36"/>
  <c r="AJ163" i="36"/>
  <c r="V163" i="36"/>
  <c r="AA163" i="36"/>
  <c r="W163" i="36"/>
  <c r="AB163" i="36"/>
  <c r="AK163" i="36"/>
  <c r="AE164" i="36"/>
  <c r="AC164" i="36"/>
  <c r="AD164" i="36"/>
  <c r="AF164" i="36"/>
  <c r="AI164" i="36"/>
  <c r="AG164" i="36"/>
  <c r="AH164" i="36"/>
  <c r="AJ164" i="36"/>
  <c r="V164" i="36"/>
  <c r="AA164" i="36"/>
  <c r="W164" i="36"/>
  <c r="AB164" i="36"/>
  <c r="AK164" i="36"/>
  <c r="AE165" i="36"/>
  <c r="AC165" i="36"/>
  <c r="AD165" i="36"/>
  <c r="AF165" i="36"/>
  <c r="AI165" i="36"/>
  <c r="AG165" i="36"/>
  <c r="AH165" i="36"/>
  <c r="AJ165" i="36"/>
  <c r="V165" i="36"/>
  <c r="AA165" i="36"/>
  <c r="W165" i="36"/>
  <c r="AB165" i="36"/>
  <c r="AK165" i="36"/>
  <c r="AE166" i="36"/>
  <c r="AC166" i="36"/>
  <c r="AD166" i="36"/>
  <c r="AF166" i="36"/>
  <c r="AI166" i="36"/>
  <c r="AG166" i="36"/>
  <c r="AH166" i="36"/>
  <c r="AJ166" i="36"/>
  <c r="V166" i="36"/>
  <c r="AA166" i="36"/>
  <c r="W166" i="36"/>
  <c r="AB166" i="36"/>
  <c r="AK166" i="36"/>
  <c r="AE167" i="36"/>
  <c r="AC167" i="36"/>
  <c r="AD167" i="36"/>
  <c r="AF167" i="36"/>
  <c r="AI167" i="36"/>
  <c r="AG167" i="36"/>
  <c r="AH167" i="36"/>
  <c r="AJ167" i="36"/>
  <c r="V167" i="36"/>
  <c r="AA167" i="36"/>
  <c r="W167" i="36"/>
  <c r="AB167" i="36"/>
  <c r="AK167" i="36"/>
  <c r="AK168" i="36"/>
  <c r="AN16" i="36"/>
  <c r="Y5" i="30"/>
  <c r="Q36" i="16"/>
  <c r="R36" i="16"/>
  <c r="AO16" i="36"/>
  <c r="AP16" i="36"/>
  <c r="O52" i="16"/>
  <c r="P52" i="16"/>
  <c r="H124" i="16"/>
  <c r="J107" i="16"/>
  <c r="C124" i="16"/>
  <c r="C142" i="16"/>
  <c r="J22" i="16"/>
  <c r="G124" i="16"/>
  <c r="J124" i="16"/>
  <c r="B142" i="16"/>
  <c r="D142" i="16"/>
  <c r="E142" i="16"/>
  <c r="F142" i="16"/>
  <c r="G142" i="16"/>
  <c r="H142" i="16"/>
  <c r="I142" i="16"/>
  <c r="J142" i="16"/>
  <c r="AE170" i="36"/>
  <c r="AC170" i="36"/>
  <c r="AD170" i="36"/>
  <c r="AF170" i="36"/>
  <c r="AI170" i="36"/>
  <c r="AG170" i="36"/>
  <c r="AH170" i="36"/>
  <c r="AJ170" i="36"/>
  <c r="V170" i="36"/>
  <c r="AA170" i="36"/>
  <c r="W170" i="36"/>
  <c r="AB170" i="36"/>
  <c r="AK170" i="36"/>
  <c r="AE171" i="36"/>
  <c r="AC171" i="36"/>
  <c r="AD171" i="36"/>
  <c r="AF171" i="36"/>
  <c r="AI171" i="36"/>
  <c r="AG171" i="36"/>
  <c r="AH171" i="36"/>
  <c r="AJ171" i="36"/>
  <c r="V171" i="36"/>
  <c r="AA171" i="36"/>
  <c r="W171" i="36"/>
  <c r="AB171" i="36"/>
  <c r="AK171" i="36"/>
  <c r="AE172" i="36"/>
  <c r="AC172" i="36"/>
  <c r="AD172" i="36"/>
  <c r="AF172" i="36"/>
  <c r="AI172" i="36"/>
  <c r="AG172" i="36"/>
  <c r="AH172" i="36"/>
  <c r="AJ172" i="36"/>
  <c r="V172" i="36"/>
  <c r="AA172" i="36"/>
  <c r="W172" i="36"/>
  <c r="AB172" i="36"/>
  <c r="AK172" i="36"/>
  <c r="AE173" i="36"/>
  <c r="AC173" i="36"/>
  <c r="AD173" i="36"/>
  <c r="AF173" i="36"/>
  <c r="AI173" i="36"/>
  <c r="AG173" i="36"/>
  <c r="AH173" i="36"/>
  <c r="AJ173" i="36"/>
  <c r="V173" i="36"/>
  <c r="AA173" i="36"/>
  <c r="W173" i="36"/>
  <c r="AB173" i="36"/>
  <c r="AK173" i="36"/>
  <c r="AE174" i="36"/>
  <c r="AC174" i="36"/>
  <c r="AD174" i="36"/>
  <c r="AF174" i="36"/>
  <c r="AI174" i="36"/>
  <c r="AG174" i="36"/>
  <c r="AH174" i="36"/>
  <c r="AJ174" i="36"/>
  <c r="V174" i="36"/>
  <c r="AA174" i="36"/>
  <c r="W174" i="36"/>
  <c r="AB174" i="36"/>
  <c r="AK174" i="36"/>
  <c r="AE175" i="36"/>
  <c r="AC175" i="36"/>
  <c r="AD175" i="36"/>
  <c r="AF175" i="36"/>
  <c r="AI175" i="36"/>
  <c r="AG175" i="36"/>
  <c r="AH175" i="36"/>
  <c r="AJ175" i="36"/>
  <c r="V175" i="36"/>
  <c r="AA175" i="36"/>
  <c r="W175" i="36"/>
  <c r="AB175" i="36"/>
  <c r="AK175" i="36"/>
  <c r="AE176" i="36"/>
  <c r="AC176" i="36"/>
  <c r="AD176" i="36"/>
  <c r="AF176" i="36"/>
  <c r="AI176" i="36"/>
  <c r="AG176" i="36"/>
  <c r="AH176" i="36"/>
  <c r="AJ176" i="36"/>
  <c r="V176" i="36"/>
  <c r="AA176" i="36"/>
  <c r="W176" i="36"/>
  <c r="AB176" i="36"/>
  <c r="AK176" i="36"/>
  <c r="AE177" i="36"/>
  <c r="AC177" i="36"/>
  <c r="AD177" i="36"/>
  <c r="AF177" i="36"/>
  <c r="AI177" i="36"/>
  <c r="AG177" i="36"/>
  <c r="AH177" i="36"/>
  <c r="AJ177" i="36"/>
  <c r="V177" i="36"/>
  <c r="AA177" i="36"/>
  <c r="W177" i="36"/>
  <c r="AB177" i="36"/>
  <c r="AK177" i="36"/>
  <c r="AE178" i="36"/>
  <c r="AC178" i="36"/>
  <c r="AD178" i="36"/>
  <c r="AF178" i="36"/>
  <c r="AI178" i="36"/>
  <c r="AG178" i="36"/>
  <c r="AH178" i="36"/>
  <c r="AJ178" i="36"/>
  <c r="V178" i="36"/>
  <c r="AA178" i="36"/>
  <c r="W178" i="36"/>
  <c r="AB178" i="36"/>
  <c r="AK178" i="36"/>
  <c r="AE179" i="36"/>
  <c r="AC179" i="36"/>
  <c r="AD179" i="36"/>
  <c r="AF179" i="36"/>
  <c r="AI179" i="36"/>
  <c r="AG179" i="36"/>
  <c r="AH179" i="36"/>
  <c r="AJ179" i="36"/>
  <c r="V179" i="36"/>
  <c r="AA179" i="36"/>
  <c r="W179" i="36"/>
  <c r="AB179" i="36"/>
  <c r="AK179" i="36"/>
  <c r="AE180" i="36"/>
  <c r="AC180" i="36"/>
  <c r="AD180" i="36"/>
  <c r="AF180" i="36"/>
  <c r="AI180" i="36"/>
  <c r="AG180" i="36"/>
  <c r="AH180" i="36"/>
  <c r="AJ180" i="36"/>
  <c r="V180" i="36"/>
  <c r="AA180" i="36"/>
  <c r="W180" i="36"/>
  <c r="AB180" i="36"/>
  <c r="AK180" i="36"/>
  <c r="AE181" i="36"/>
  <c r="AC181" i="36"/>
  <c r="AD181" i="36"/>
  <c r="AF181" i="36"/>
  <c r="AI181" i="36"/>
  <c r="AG181" i="36"/>
  <c r="AH181" i="36"/>
  <c r="AJ181" i="36"/>
  <c r="V181" i="36"/>
  <c r="AA181" i="36"/>
  <c r="W181" i="36"/>
  <c r="AB181" i="36"/>
  <c r="AK181" i="36"/>
  <c r="AE182" i="36"/>
  <c r="AC182" i="36"/>
  <c r="AD182" i="36"/>
  <c r="AF182" i="36"/>
  <c r="AI182" i="36"/>
  <c r="AG182" i="36"/>
  <c r="AH182" i="36"/>
  <c r="AJ182" i="36"/>
  <c r="V182" i="36"/>
  <c r="AA182" i="36"/>
  <c r="W182" i="36"/>
  <c r="AB182" i="36"/>
  <c r="AK182" i="36"/>
  <c r="AE183" i="36"/>
  <c r="AC183" i="36"/>
  <c r="AD183" i="36"/>
  <c r="AF183" i="36"/>
  <c r="AI183" i="36"/>
  <c r="AG183" i="36"/>
  <c r="AH183" i="36"/>
  <c r="AJ183" i="36"/>
  <c r="V183" i="36"/>
  <c r="AA183" i="36"/>
  <c r="W183" i="36"/>
  <c r="AB183" i="36"/>
  <c r="AK183" i="36"/>
  <c r="AE184" i="36"/>
  <c r="AC184" i="36"/>
  <c r="AD184" i="36"/>
  <c r="AF184" i="36"/>
  <c r="AI184" i="36"/>
  <c r="AG184" i="36"/>
  <c r="AH184" i="36"/>
  <c r="AJ184" i="36"/>
  <c r="V184" i="36"/>
  <c r="AA184" i="36"/>
  <c r="W184" i="36"/>
  <c r="AB184" i="36"/>
  <c r="AK184" i="36"/>
  <c r="AE185" i="36"/>
  <c r="AC185" i="36"/>
  <c r="AD185" i="36"/>
  <c r="AF185" i="36"/>
  <c r="AI185" i="36"/>
  <c r="AG185" i="36"/>
  <c r="AH185" i="36"/>
  <c r="AJ185" i="36"/>
  <c r="V185" i="36"/>
  <c r="AA185" i="36"/>
  <c r="W185" i="36"/>
  <c r="AB185" i="36"/>
  <c r="AK185" i="36"/>
  <c r="AK186" i="36"/>
  <c r="AN17" i="36"/>
  <c r="Z5" i="30"/>
  <c r="Q37" i="16"/>
  <c r="R37" i="16"/>
  <c r="AO17" i="36"/>
  <c r="AP17" i="36"/>
  <c r="O53" i="16"/>
  <c r="P53" i="16"/>
  <c r="H125" i="16"/>
  <c r="J108" i="16"/>
  <c r="C125" i="16"/>
  <c r="C143" i="16"/>
  <c r="J23" i="16"/>
  <c r="G125" i="16"/>
  <c r="J125" i="16"/>
  <c r="B143" i="16"/>
  <c r="D143" i="16"/>
  <c r="E143" i="16"/>
  <c r="F143" i="16"/>
  <c r="G143" i="16"/>
  <c r="H143" i="16"/>
  <c r="I143" i="16"/>
  <c r="J143" i="16"/>
  <c r="AE188" i="36"/>
  <c r="AC188" i="36"/>
  <c r="AD188" i="36"/>
  <c r="AF188" i="36"/>
  <c r="AI188" i="36"/>
  <c r="AG188" i="36"/>
  <c r="AH188" i="36"/>
  <c r="AJ188" i="36"/>
  <c r="V188" i="36"/>
  <c r="AA188" i="36"/>
  <c r="W188" i="36"/>
  <c r="AB188" i="36"/>
  <c r="AK188" i="36"/>
  <c r="AE189" i="36"/>
  <c r="AC189" i="36"/>
  <c r="AD189" i="36"/>
  <c r="AF189" i="36"/>
  <c r="AI189" i="36"/>
  <c r="AG189" i="36"/>
  <c r="AH189" i="36"/>
  <c r="AJ189" i="36"/>
  <c r="V189" i="36"/>
  <c r="AA189" i="36"/>
  <c r="W189" i="36"/>
  <c r="AB189" i="36"/>
  <c r="AK189" i="36"/>
  <c r="AE190" i="36"/>
  <c r="AC190" i="36"/>
  <c r="AD190" i="36"/>
  <c r="AF190" i="36"/>
  <c r="AI190" i="36"/>
  <c r="AG190" i="36"/>
  <c r="AH190" i="36"/>
  <c r="AJ190" i="36"/>
  <c r="V190" i="36"/>
  <c r="AA190" i="36"/>
  <c r="W190" i="36"/>
  <c r="AB190" i="36"/>
  <c r="AK190" i="36"/>
  <c r="AE191" i="36"/>
  <c r="AC191" i="36"/>
  <c r="AD191" i="36"/>
  <c r="AF191" i="36"/>
  <c r="AI191" i="36"/>
  <c r="AG191" i="36"/>
  <c r="AH191" i="36"/>
  <c r="AJ191" i="36"/>
  <c r="V191" i="36"/>
  <c r="AA191" i="36"/>
  <c r="W191" i="36"/>
  <c r="AB191" i="36"/>
  <c r="AK191" i="36"/>
  <c r="AE192" i="36"/>
  <c r="AC192" i="36"/>
  <c r="AD192" i="36"/>
  <c r="AF192" i="36"/>
  <c r="AI192" i="36"/>
  <c r="AG192" i="36"/>
  <c r="AH192" i="36"/>
  <c r="AJ192" i="36"/>
  <c r="V192" i="36"/>
  <c r="AA192" i="36"/>
  <c r="W192" i="36"/>
  <c r="AB192" i="36"/>
  <c r="AK192" i="36"/>
  <c r="AE193" i="36"/>
  <c r="AC193" i="36"/>
  <c r="AD193" i="36"/>
  <c r="AF193" i="36"/>
  <c r="AI193" i="36"/>
  <c r="AG193" i="36"/>
  <c r="AH193" i="36"/>
  <c r="AJ193" i="36"/>
  <c r="V193" i="36"/>
  <c r="AA193" i="36"/>
  <c r="W193" i="36"/>
  <c r="AB193" i="36"/>
  <c r="AK193" i="36"/>
  <c r="AE194" i="36"/>
  <c r="AC194" i="36"/>
  <c r="AD194" i="36"/>
  <c r="AF194" i="36"/>
  <c r="AI194" i="36"/>
  <c r="AG194" i="36"/>
  <c r="AH194" i="36"/>
  <c r="AJ194" i="36"/>
  <c r="V194" i="36"/>
  <c r="AA194" i="36"/>
  <c r="W194" i="36"/>
  <c r="AB194" i="36"/>
  <c r="AK194" i="36"/>
  <c r="AE195" i="36"/>
  <c r="AC195" i="36"/>
  <c r="AD195" i="36"/>
  <c r="AF195" i="36"/>
  <c r="AI195" i="36"/>
  <c r="AG195" i="36"/>
  <c r="AH195" i="36"/>
  <c r="AJ195" i="36"/>
  <c r="V195" i="36"/>
  <c r="AA195" i="36"/>
  <c r="W195" i="36"/>
  <c r="AB195" i="36"/>
  <c r="AK195" i="36"/>
  <c r="AE196" i="36"/>
  <c r="AC196" i="36"/>
  <c r="AD196" i="36"/>
  <c r="AF196" i="36"/>
  <c r="AI196" i="36"/>
  <c r="AG196" i="36"/>
  <c r="AH196" i="36"/>
  <c r="AJ196" i="36"/>
  <c r="V196" i="36"/>
  <c r="AA196" i="36"/>
  <c r="W196" i="36"/>
  <c r="AB196" i="36"/>
  <c r="AK196" i="36"/>
  <c r="AE197" i="36"/>
  <c r="AC197" i="36"/>
  <c r="AD197" i="36"/>
  <c r="AF197" i="36"/>
  <c r="AI197" i="36"/>
  <c r="AG197" i="36"/>
  <c r="AH197" i="36"/>
  <c r="AJ197" i="36"/>
  <c r="V197" i="36"/>
  <c r="AA197" i="36"/>
  <c r="W197" i="36"/>
  <c r="AB197" i="36"/>
  <c r="AK197" i="36"/>
  <c r="AE198" i="36"/>
  <c r="AC198" i="36"/>
  <c r="AD198" i="36"/>
  <c r="AF198" i="36"/>
  <c r="AI198" i="36"/>
  <c r="AG198" i="36"/>
  <c r="AH198" i="36"/>
  <c r="AJ198" i="36"/>
  <c r="V198" i="36"/>
  <c r="AA198" i="36"/>
  <c r="W198" i="36"/>
  <c r="AB198" i="36"/>
  <c r="AK198" i="36"/>
  <c r="AE199" i="36"/>
  <c r="AC199" i="36"/>
  <c r="AD199" i="36"/>
  <c r="AF199" i="36"/>
  <c r="AI199" i="36"/>
  <c r="AG199" i="36"/>
  <c r="AH199" i="36"/>
  <c r="AJ199" i="36"/>
  <c r="V199" i="36"/>
  <c r="AA199" i="36"/>
  <c r="W199" i="36"/>
  <c r="AB199" i="36"/>
  <c r="AK199" i="36"/>
  <c r="AE200" i="36"/>
  <c r="AC200" i="36"/>
  <c r="AD200" i="36"/>
  <c r="AF200" i="36"/>
  <c r="AI200" i="36"/>
  <c r="AG200" i="36"/>
  <c r="AH200" i="36"/>
  <c r="AJ200" i="36"/>
  <c r="V200" i="36"/>
  <c r="AA200" i="36"/>
  <c r="W200" i="36"/>
  <c r="AB200" i="36"/>
  <c r="AK200" i="36"/>
  <c r="AE201" i="36"/>
  <c r="AC201" i="36"/>
  <c r="AD201" i="36"/>
  <c r="AF201" i="36"/>
  <c r="AI201" i="36"/>
  <c r="AG201" i="36"/>
  <c r="AH201" i="36"/>
  <c r="AJ201" i="36"/>
  <c r="V201" i="36"/>
  <c r="AA201" i="36"/>
  <c r="W201" i="36"/>
  <c r="AB201" i="36"/>
  <c r="AK201" i="36"/>
  <c r="AE202" i="36"/>
  <c r="AC202" i="36"/>
  <c r="AD202" i="36"/>
  <c r="AF202" i="36"/>
  <c r="AI202" i="36"/>
  <c r="AG202" i="36"/>
  <c r="AH202" i="36"/>
  <c r="AJ202" i="36"/>
  <c r="V202" i="36"/>
  <c r="AA202" i="36"/>
  <c r="W202" i="36"/>
  <c r="AB202" i="36"/>
  <c r="AK202" i="36"/>
  <c r="AE203" i="36"/>
  <c r="AC203" i="36"/>
  <c r="AD203" i="36"/>
  <c r="AF203" i="36"/>
  <c r="AI203" i="36"/>
  <c r="AG203" i="36"/>
  <c r="AH203" i="36"/>
  <c r="AJ203" i="36"/>
  <c r="V203" i="36"/>
  <c r="AA203" i="36"/>
  <c r="W203" i="36"/>
  <c r="AB203" i="36"/>
  <c r="AK203" i="36"/>
  <c r="AK204" i="36"/>
  <c r="AN18" i="36"/>
  <c r="AA5" i="30"/>
  <c r="Q38" i="16"/>
  <c r="R38" i="16"/>
  <c r="AO18" i="36"/>
  <c r="AP18" i="36"/>
  <c r="O54" i="16"/>
  <c r="P54" i="16"/>
  <c r="H126" i="16"/>
  <c r="J109" i="16"/>
  <c r="C126" i="16"/>
  <c r="C144" i="16"/>
  <c r="J24" i="16"/>
  <c r="G126" i="16"/>
  <c r="J126" i="16"/>
  <c r="B144" i="16"/>
  <c r="D144" i="16"/>
  <c r="E144" i="16"/>
  <c r="F144" i="16"/>
  <c r="G144" i="16"/>
  <c r="H144" i="16"/>
  <c r="I144" i="16"/>
  <c r="J144" i="16"/>
  <c r="AE206" i="36"/>
  <c r="AC206" i="36"/>
  <c r="AD206" i="36"/>
  <c r="AF206" i="36"/>
  <c r="AI206" i="36"/>
  <c r="AG206" i="36"/>
  <c r="AH206" i="36"/>
  <c r="AJ206" i="36"/>
  <c r="V206" i="36"/>
  <c r="AA206" i="36"/>
  <c r="W206" i="36"/>
  <c r="AB206" i="36"/>
  <c r="AK206" i="36"/>
  <c r="AE207" i="36"/>
  <c r="AC207" i="36"/>
  <c r="AD207" i="36"/>
  <c r="AF207" i="36"/>
  <c r="AI207" i="36"/>
  <c r="AG207" i="36"/>
  <c r="AH207" i="36"/>
  <c r="AJ207" i="36"/>
  <c r="V207" i="36"/>
  <c r="AA207" i="36"/>
  <c r="W207" i="36"/>
  <c r="AB207" i="36"/>
  <c r="AK207" i="36"/>
  <c r="AE208" i="36"/>
  <c r="AC208" i="36"/>
  <c r="AD208" i="36"/>
  <c r="AF208" i="36"/>
  <c r="AI208" i="36"/>
  <c r="AG208" i="36"/>
  <c r="AH208" i="36"/>
  <c r="AJ208" i="36"/>
  <c r="V208" i="36"/>
  <c r="AA208" i="36"/>
  <c r="W208" i="36"/>
  <c r="AB208" i="36"/>
  <c r="AK208" i="36"/>
  <c r="AE209" i="36"/>
  <c r="AC209" i="36"/>
  <c r="AD209" i="36"/>
  <c r="AF209" i="36"/>
  <c r="AI209" i="36"/>
  <c r="AG209" i="36"/>
  <c r="AH209" i="36"/>
  <c r="AJ209" i="36"/>
  <c r="V209" i="36"/>
  <c r="AA209" i="36"/>
  <c r="W209" i="36"/>
  <c r="AB209" i="36"/>
  <c r="AK209" i="36"/>
  <c r="AE210" i="36"/>
  <c r="AC210" i="36"/>
  <c r="AD210" i="36"/>
  <c r="AF210" i="36"/>
  <c r="AI210" i="36"/>
  <c r="AG210" i="36"/>
  <c r="AH210" i="36"/>
  <c r="AJ210" i="36"/>
  <c r="V210" i="36"/>
  <c r="AA210" i="36"/>
  <c r="W210" i="36"/>
  <c r="AB210" i="36"/>
  <c r="AK210" i="36"/>
  <c r="AE211" i="36"/>
  <c r="AC211" i="36"/>
  <c r="AD211" i="36"/>
  <c r="AF211" i="36"/>
  <c r="AI211" i="36"/>
  <c r="AG211" i="36"/>
  <c r="AH211" i="36"/>
  <c r="AJ211" i="36"/>
  <c r="V211" i="36"/>
  <c r="AA211" i="36"/>
  <c r="W211" i="36"/>
  <c r="AB211" i="36"/>
  <c r="AK211" i="36"/>
  <c r="AE212" i="36"/>
  <c r="AC212" i="36"/>
  <c r="AD212" i="36"/>
  <c r="AF212" i="36"/>
  <c r="AI212" i="36"/>
  <c r="AG212" i="36"/>
  <c r="AH212" i="36"/>
  <c r="AJ212" i="36"/>
  <c r="V212" i="36"/>
  <c r="AA212" i="36"/>
  <c r="W212" i="36"/>
  <c r="AB212" i="36"/>
  <c r="AK212" i="36"/>
  <c r="AE213" i="36"/>
  <c r="AC213" i="36"/>
  <c r="AD213" i="36"/>
  <c r="AF213" i="36"/>
  <c r="AI213" i="36"/>
  <c r="AG213" i="36"/>
  <c r="AH213" i="36"/>
  <c r="AJ213" i="36"/>
  <c r="V213" i="36"/>
  <c r="AA213" i="36"/>
  <c r="W213" i="36"/>
  <c r="AB213" i="36"/>
  <c r="AK213" i="36"/>
  <c r="AE214" i="36"/>
  <c r="AC214" i="36"/>
  <c r="AD214" i="36"/>
  <c r="AF214" i="36"/>
  <c r="AI214" i="36"/>
  <c r="AG214" i="36"/>
  <c r="AH214" i="36"/>
  <c r="AJ214" i="36"/>
  <c r="V214" i="36"/>
  <c r="AA214" i="36"/>
  <c r="W214" i="36"/>
  <c r="AB214" i="36"/>
  <c r="AK214" i="36"/>
  <c r="AE215" i="36"/>
  <c r="AC215" i="36"/>
  <c r="AD215" i="36"/>
  <c r="AF215" i="36"/>
  <c r="AI215" i="36"/>
  <c r="AG215" i="36"/>
  <c r="AH215" i="36"/>
  <c r="AJ215" i="36"/>
  <c r="V215" i="36"/>
  <c r="AA215" i="36"/>
  <c r="W215" i="36"/>
  <c r="AB215" i="36"/>
  <c r="AK215" i="36"/>
  <c r="AE216" i="36"/>
  <c r="AC216" i="36"/>
  <c r="AD216" i="36"/>
  <c r="AF216" i="36"/>
  <c r="AI216" i="36"/>
  <c r="AG216" i="36"/>
  <c r="AH216" i="36"/>
  <c r="AJ216" i="36"/>
  <c r="V216" i="36"/>
  <c r="AA216" i="36"/>
  <c r="W216" i="36"/>
  <c r="AB216" i="36"/>
  <c r="AK216" i="36"/>
  <c r="AE217" i="36"/>
  <c r="AC217" i="36"/>
  <c r="AD217" i="36"/>
  <c r="AF217" i="36"/>
  <c r="AI217" i="36"/>
  <c r="AG217" i="36"/>
  <c r="AH217" i="36"/>
  <c r="AJ217" i="36"/>
  <c r="V217" i="36"/>
  <c r="AA217" i="36"/>
  <c r="W217" i="36"/>
  <c r="AB217" i="36"/>
  <c r="AK217" i="36"/>
  <c r="AE218" i="36"/>
  <c r="AC218" i="36"/>
  <c r="AD218" i="36"/>
  <c r="AF218" i="36"/>
  <c r="AI218" i="36"/>
  <c r="AG218" i="36"/>
  <c r="AH218" i="36"/>
  <c r="AJ218" i="36"/>
  <c r="V218" i="36"/>
  <c r="AA218" i="36"/>
  <c r="W218" i="36"/>
  <c r="AB218" i="36"/>
  <c r="AK218" i="36"/>
  <c r="AE219" i="36"/>
  <c r="AC219" i="36"/>
  <c r="AD219" i="36"/>
  <c r="AF219" i="36"/>
  <c r="AI219" i="36"/>
  <c r="AG219" i="36"/>
  <c r="AH219" i="36"/>
  <c r="AJ219" i="36"/>
  <c r="V219" i="36"/>
  <c r="AA219" i="36"/>
  <c r="W219" i="36"/>
  <c r="AB219" i="36"/>
  <c r="AK219" i="36"/>
  <c r="AE220" i="36"/>
  <c r="AC220" i="36"/>
  <c r="AD220" i="36"/>
  <c r="AF220" i="36"/>
  <c r="AI220" i="36"/>
  <c r="AG220" i="36"/>
  <c r="AH220" i="36"/>
  <c r="AJ220" i="36"/>
  <c r="V220" i="36"/>
  <c r="AA220" i="36"/>
  <c r="W220" i="36"/>
  <c r="AB220" i="36"/>
  <c r="AK220" i="36"/>
  <c r="AE221" i="36"/>
  <c r="AC221" i="36"/>
  <c r="AD221" i="36"/>
  <c r="AF221" i="36"/>
  <c r="AI221" i="36"/>
  <c r="AG221" i="36"/>
  <c r="AH221" i="36"/>
  <c r="AJ221" i="36"/>
  <c r="V221" i="36"/>
  <c r="AA221" i="36"/>
  <c r="W221" i="36"/>
  <c r="AB221" i="36"/>
  <c r="AK221" i="36"/>
  <c r="AK222" i="36"/>
  <c r="AN19" i="36"/>
  <c r="AB5" i="30"/>
  <c r="Q39" i="16"/>
  <c r="R39" i="16"/>
  <c r="AO19" i="36"/>
  <c r="AP19" i="36"/>
  <c r="O55" i="16"/>
  <c r="P55" i="16"/>
  <c r="H127" i="16"/>
  <c r="J110" i="16"/>
  <c r="C127" i="16"/>
  <c r="C145" i="16"/>
  <c r="J25" i="16"/>
  <c r="G127" i="16"/>
  <c r="J127" i="16"/>
  <c r="B145" i="16"/>
  <c r="D145" i="16"/>
  <c r="E145" i="16"/>
  <c r="F145" i="16"/>
  <c r="G145" i="16"/>
  <c r="H145" i="16"/>
  <c r="I145" i="16"/>
  <c r="J145" i="16"/>
  <c r="J146" i="16"/>
  <c r="C128" i="16"/>
  <c r="B163" i="16"/>
  <c r="G7" i="16"/>
  <c r="H7" i="16"/>
  <c r="F141" i="9"/>
  <c r="H8" i="16"/>
  <c r="M13" i="16"/>
  <c r="J28" i="16"/>
  <c r="L28" i="16"/>
  <c r="J29" i="16"/>
  <c r="L29" i="16"/>
  <c r="AB29" i="16"/>
  <c r="J30" i="16"/>
  <c r="L30" i="16"/>
  <c r="J31" i="16"/>
  <c r="L31" i="16"/>
  <c r="J32" i="16"/>
  <c r="L32" i="16"/>
  <c r="J33" i="16"/>
  <c r="L33" i="16"/>
  <c r="J34" i="16"/>
  <c r="L34" i="16"/>
  <c r="J35" i="16"/>
  <c r="L35" i="16"/>
  <c r="J36" i="16"/>
  <c r="L36" i="16"/>
  <c r="H167" i="1"/>
  <c r="O36" i="16"/>
  <c r="J37" i="16"/>
  <c r="L37" i="16"/>
  <c r="O37" i="16"/>
  <c r="J38" i="16"/>
  <c r="L38" i="16"/>
  <c r="O38" i="16"/>
  <c r="J39" i="16"/>
  <c r="L39" i="16"/>
  <c r="K42" i="16"/>
  <c r="D44" i="16"/>
  <c r="E44" i="16"/>
  <c r="F44" i="16"/>
  <c r="G44" i="16"/>
  <c r="H44" i="16"/>
  <c r="I44" i="16"/>
  <c r="J44" i="16"/>
  <c r="K44" i="16"/>
  <c r="L44" i="16"/>
  <c r="M44" i="16"/>
  <c r="D45" i="16"/>
  <c r="E45" i="16"/>
  <c r="F45" i="16"/>
  <c r="G45" i="16"/>
  <c r="H45" i="16"/>
  <c r="I45" i="16"/>
  <c r="J45" i="16"/>
  <c r="K45" i="16"/>
  <c r="L45" i="16"/>
  <c r="M45" i="16"/>
  <c r="D46" i="16"/>
  <c r="E46" i="16"/>
  <c r="F46" i="16"/>
  <c r="G46" i="16"/>
  <c r="H46" i="16"/>
  <c r="I46" i="16"/>
  <c r="J46" i="16"/>
  <c r="K46" i="16"/>
  <c r="L46" i="16"/>
  <c r="M46" i="16"/>
  <c r="D47" i="16"/>
  <c r="E47" i="16"/>
  <c r="F47" i="16"/>
  <c r="G47" i="16"/>
  <c r="H47" i="16"/>
  <c r="I47" i="16"/>
  <c r="J47" i="16"/>
  <c r="K47" i="16"/>
  <c r="L47" i="16"/>
  <c r="M47" i="16"/>
  <c r="D48" i="16"/>
  <c r="E48" i="16"/>
  <c r="F48" i="16"/>
  <c r="G48" i="16"/>
  <c r="H48" i="16"/>
  <c r="I48" i="16"/>
  <c r="J48" i="16"/>
  <c r="K48" i="16"/>
  <c r="L48" i="16"/>
  <c r="M48" i="16"/>
  <c r="D49" i="16"/>
  <c r="E49" i="16"/>
  <c r="F49" i="16"/>
  <c r="G49" i="16"/>
  <c r="H49" i="16"/>
  <c r="I49" i="16"/>
  <c r="J49" i="16"/>
  <c r="K49" i="16"/>
  <c r="L49" i="16"/>
  <c r="M49" i="16"/>
  <c r="D50" i="16"/>
  <c r="E50" i="16"/>
  <c r="F50" i="16"/>
  <c r="G50" i="16"/>
  <c r="H50" i="16"/>
  <c r="I50" i="16"/>
  <c r="J50" i="16"/>
  <c r="K50" i="16"/>
  <c r="L50" i="16"/>
  <c r="M50" i="16"/>
  <c r="D51" i="16"/>
  <c r="E51" i="16"/>
  <c r="F51" i="16"/>
  <c r="G51" i="16"/>
  <c r="H51" i="16"/>
  <c r="I51" i="16"/>
  <c r="J51" i="16"/>
  <c r="K51" i="16"/>
  <c r="L51" i="16"/>
  <c r="M51" i="16"/>
  <c r="D52" i="16"/>
  <c r="E52" i="16"/>
  <c r="F52" i="16"/>
  <c r="G52" i="16"/>
  <c r="H52" i="16"/>
  <c r="I52" i="16"/>
  <c r="J52" i="16"/>
  <c r="K52" i="16"/>
  <c r="L52" i="16"/>
  <c r="M52" i="16"/>
  <c r="D53" i="16"/>
  <c r="E53" i="16"/>
  <c r="F53" i="16"/>
  <c r="G53" i="16"/>
  <c r="H53" i="16"/>
  <c r="I53" i="16"/>
  <c r="J53" i="16"/>
  <c r="K53" i="16"/>
  <c r="L53" i="16"/>
  <c r="M53" i="16"/>
  <c r="D54" i="16"/>
  <c r="E54" i="16"/>
  <c r="F54" i="16"/>
  <c r="G54" i="16"/>
  <c r="H54" i="16"/>
  <c r="I54" i="16"/>
  <c r="J54" i="16"/>
  <c r="K54" i="16"/>
  <c r="L54" i="16"/>
  <c r="M54" i="16"/>
  <c r="D55" i="16"/>
  <c r="E55" i="16"/>
  <c r="F55" i="16"/>
  <c r="G55" i="16"/>
  <c r="H55" i="16"/>
  <c r="I55" i="16"/>
  <c r="J55" i="16"/>
  <c r="K55" i="16"/>
  <c r="L55" i="16"/>
  <c r="M55" i="16"/>
  <c r="N57" i="16"/>
  <c r="E61" i="16"/>
  <c r="J67" i="16"/>
  <c r="J68" i="16"/>
  <c r="J69" i="16"/>
  <c r="J70" i="16"/>
  <c r="J71" i="16"/>
  <c r="J72" i="16"/>
  <c r="J73" i="16"/>
  <c r="J74" i="16"/>
  <c r="J75" i="16"/>
  <c r="J76" i="16"/>
  <c r="J77" i="16"/>
  <c r="J78" i="16"/>
  <c r="H90" i="1"/>
  <c r="J17" i="9"/>
  <c r="D63" i="1"/>
  <c r="F63" i="1"/>
  <c r="D64" i="1"/>
  <c r="F64" i="1"/>
  <c r="D65" i="1"/>
  <c r="F65" i="1"/>
  <c r="D66" i="1"/>
  <c r="F66" i="1"/>
  <c r="D67" i="1"/>
  <c r="F67" i="1"/>
  <c r="D68" i="1"/>
  <c r="F68" i="1"/>
  <c r="F70" i="1"/>
  <c r="D70" i="1"/>
  <c r="C31" i="11"/>
  <c r="D28" i="1"/>
  <c r="D29" i="1"/>
  <c r="C10" i="11"/>
  <c r="E31" i="11"/>
  <c r="H6" i="9"/>
  <c r="Q2" i="9"/>
  <c r="G31" i="11"/>
  <c r="F152" i="9"/>
  <c r="L80" i="19"/>
  <c r="L63" i="1"/>
  <c r="F153" i="9"/>
  <c r="L81" i="19"/>
  <c r="L64" i="1"/>
  <c r="F154" i="9"/>
  <c r="L82" i="19"/>
  <c r="L65" i="1"/>
  <c r="F155" i="9"/>
  <c r="L83" i="19"/>
  <c r="L66" i="1"/>
  <c r="F156" i="9"/>
  <c r="L84" i="19"/>
  <c r="L67" i="1"/>
  <c r="F157" i="9"/>
  <c r="L85" i="19"/>
  <c r="L68" i="1"/>
  <c r="L70" i="1"/>
  <c r="K31" i="11"/>
  <c r="M31" i="11"/>
  <c r="M33" i="11"/>
  <c r="H57" i="1"/>
  <c r="H59" i="1"/>
  <c r="G27" i="11"/>
  <c r="G34" i="11"/>
  <c r="G10" i="11"/>
  <c r="D30" i="1"/>
  <c r="D31" i="1"/>
  <c r="C11" i="11"/>
  <c r="L63" i="9"/>
  <c r="E11" i="11"/>
  <c r="G11" i="11"/>
  <c r="D27" i="1"/>
  <c r="D32" i="1"/>
  <c r="D33" i="1"/>
  <c r="D34" i="1"/>
  <c r="F39" i="1"/>
  <c r="C12" i="11"/>
  <c r="K63" i="9"/>
  <c r="E12" i="11"/>
  <c r="G12" i="11"/>
  <c r="D35" i="1"/>
  <c r="D36" i="1"/>
  <c r="C13" i="11"/>
  <c r="J63" i="9"/>
  <c r="E13" i="11"/>
  <c r="G13" i="11"/>
  <c r="F42" i="1"/>
  <c r="C18" i="11"/>
  <c r="G18" i="11"/>
  <c r="F43" i="1"/>
  <c r="C19" i="11"/>
  <c r="G19" i="11"/>
  <c r="G21" i="11"/>
  <c r="C15" i="11"/>
  <c r="G22" i="11"/>
  <c r="G23" i="11"/>
  <c r="F13" i="1"/>
  <c r="H13" i="1"/>
  <c r="F14" i="1"/>
  <c r="H14" i="1"/>
  <c r="F15" i="1"/>
  <c r="H15" i="1"/>
  <c r="H17" i="1"/>
  <c r="H22" i="1"/>
  <c r="G5" i="11"/>
  <c r="G25" i="11"/>
  <c r="G37" i="11"/>
  <c r="I39" i="11"/>
  <c r="G39" i="11"/>
  <c r="K17" i="9"/>
  <c r="L17" i="9"/>
  <c r="M17" i="9"/>
  <c r="I42" i="11"/>
  <c r="G42" i="11"/>
  <c r="G45" i="11"/>
  <c r="C4" i="11"/>
  <c r="G46" i="11"/>
  <c r="G51" i="11"/>
  <c r="G54" i="11"/>
  <c r="G55" i="11"/>
  <c r="H94" i="1"/>
  <c r="H89" i="1"/>
  <c r="K2" i="9"/>
  <c r="H63" i="1"/>
  <c r="J63" i="1"/>
  <c r="N63" i="1"/>
  <c r="L2" i="9"/>
  <c r="H64" i="1"/>
  <c r="J64" i="1"/>
  <c r="N64" i="1"/>
  <c r="M2" i="9"/>
  <c r="H65" i="1"/>
  <c r="J65" i="1"/>
  <c r="N65" i="1"/>
  <c r="N2" i="9"/>
  <c r="H66" i="1"/>
  <c r="J66" i="1"/>
  <c r="N66" i="1"/>
  <c r="O2" i="9"/>
  <c r="H67" i="1"/>
  <c r="J67" i="1"/>
  <c r="N67" i="1"/>
  <c r="P2" i="9"/>
  <c r="H68" i="1"/>
  <c r="J68" i="1"/>
  <c r="N68" i="1"/>
  <c r="N72" i="1"/>
  <c r="H73" i="1"/>
  <c r="F27" i="1"/>
  <c r="H27" i="1"/>
  <c r="F28" i="1"/>
  <c r="H28" i="1"/>
  <c r="F29" i="1"/>
  <c r="H29" i="1"/>
  <c r="F30" i="1"/>
  <c r="H30" i="1"/>
  <c r="F31" i="1"/>
  <c r="H31" i="1"/>
  <c r="F32" i="1"/>
  <c r="H32" i="1"/>
  <c r="F33" i="1"/>
  <c r="H33" i="1"/>
  <c r="F34" i="1"/>
  <c r="H34" i="1"/>
  <c r="F35" i="1"/>
  <c r="H35" i="1"/>
  <c r="F36" i="1"/>
  <c r="H36" i="1"/>
  <c r="H42" i="1"/>
  <c r="J42" i="1"/>
  <c r="H43" i="1"/>
  <c r="J43" i="1"/>
  <c r="H45" i="1"/>
  <c r="F38" i="1"/>
  <c r="H46" i="1"/>
  <c r="H47" i="1"/>
  <c r="H49" i="1"/>
  <c r="H76" i="1"/>
  <c r="J78" i="1"/>
  <c r="H78" i="1"/>
  <c r="J81" i="1"/>
  <c r="H81" i="1"/>
  <c r="H84" i="1"/>
  <c r="H85" i="1"/>
  <c r="H103" i="1"/>
  <c r="H109" i="1"/>
  <c r="H108" i="1"/>
  <c r="B80" i="16"/>
  <c r="B84" i="16"/>
  <c r="C84" i="16"/>
  <c r="B85" i="16"/>
  <c r="C85" i="16"/>
  <c r="B86" i="16"/>
  <c r="C86" i="16"/>
  <c r="B87" i="16"/>
  <c r="C87" i="16"/>
  <c r="B88" i="16"/>
  <c r="C88" i="16"/>
  <c r="B89" i="16"/>
  <c r="C89" i="16"/>
  <c r="B90" i="16"/>
  <c r="C90" i="16"/>
  <c r="B91" i="16"/>
  <c r="C91" i="16"/>
  <c r="B92" i="16"/>
  <c r="C92" i="16"/>
  <c r="B93" i="16"/>
  <c r="C93" i="16"/>
  <c r="B94" i="16"/>
  <c r="C94" i="16"/>
  <c r="B95" i="16"/>
  <c r="C95" i="16"/>
  <c r="B116" i="16"/>
  <c r="D116" i="16"/>
  <c r="E116" i="16"/>
  <c r="B117" i="16"/>
  <c r="D117" i="16"/>
  <c r="E117" i="16"/>
  <c r="B118" i="16"/>
  <c r="D118" i="16"/>
  <c r="E118" i="16"/>
  <c r="B119" i="16"/>
  <c r="D119" i="16"/>
  <c r="E119" i="16"/>
  <c r="B120" i="16"/>
  <c r="D120" i="16"/>
  <c r="E120" i="16"/>
  <c r="B121" i="16"/>
  <c r="D121" i="16"/>
  <c r="E121" i="16"/>
  <c r="B122" i="16"/>
  <c r="D122" i="16"/>
  <c r="E122" i="16"/>
  <c r="B123" i="16"/>
  <c r="D123" i="16"/>
  <c r="E123" i="16"/>
  <c r="B124" i="16"/>
  <c r="D124" i="16"/>
  <c r="E124" i="16"/>
  <c r="B125" i="16"/>
  <c r="D125" i="16"/>
  <c r="E125" i="16"/>
  <c r="B126" i="16"/>
  <c r="D126" i="16"/>
  <c r="E126" i="16"/>
  <c r="B127" i="16"/>
  <c r="D127" i="16"/>
  <c r="E127" i="16"/>
  <c r="D128" i="16"/>
  <c r="E128" i="16"/>
  <c r="G128" i="16"/>
  <c r="H128" i="16"/>
  <c r="C129" i="16"/>
  <c r="D129" i="16"/>
  <c r="C130" i="16"/>
  <c r="D130" i="16"/>
  <c r="B150" i="16"/>
  <c r="C150" i="16"/>
  <c r="D150" i="16"/>
  <c r="E150" i="16"/>
  <c r="F150" i="16"/>
  <c r="G150" i="16"/>
  <c r="H150" i="16"/>
  <c r="I150" i="16"/>
  <c r="J150" i="16"/>
  <c r="K150" i="16"/>
  <c r="L150" i="16"/>
  <c r="N150" i="16"/>
  <c r="O150" i="16"/>
  <c r="B151" i="16"/>
  <c r="C151" i="16"/>
  <c r="D151" i="16"/>
  <c r="E151" i="16"/>
  <c r="F151" i="16"/>
  <c r="G151" i="16"/>
  <c r="H151" i="16"/>
  <c r="I151" i="16"/>
  <c r="J151" i="16"/>
  <c r="K151" i="16"/>
  <c r="L151" i="16"/>
  <c r="N151" i="16"/>
  <c r="O151" i="16"/>
  <c r="B152" i="16"/>
  <c r="C152" i="16"/>
  <c r="D152" i="16"/>
  <c r="E152" i="16"/>
  <c r="F152" i="16"/>
  <c r="G152" i="16"/>
  <c r="H152" i="16"/>
  <c r="I152" i="16"/>
  <c r="J152" i="16"/>
  <c r="K152" i="16"/>
  <c r="L152" i="16"/>
  <c r="N152" i="16"/>
  <c r="O152" i="16"/>
  <c r="B153" i="16"/>
  <c r="C153" i="16"/>
  <c r="D153" i="16"/>
  <c r="E153" i="16"/>
  <c r="F153" i="16"/>
  <c r="G153" i="16"/>
  <c r="H153" i="16"/>
  <c r="I153" i="16"/>
  <c r="J153" i="16"/>
  <c r="K153" i="16"/>
  <c r="L153" i="16"/>
  <c r="N153" i="16"/>
  <c r="O153" i="16"/>
  <c r="B154" i="16"/>
  <c r="C154" i="16"/>
  <c r="D154" i="16"/>
  <c r="E154" i="16"/>
  <c r="F154" i="16"/>
  <c r="G154" i="16"/>
  <c r="H154" i="16"/>
  <c r="I154" i="16"/>
  <c r="J154" i="16"/>
  <c r="K154" i="16"/>
  <c r="L154" i="16"/>
  <c r="N154" i="16"/>
  <c r="O154" i="16"/>
  <c r="B155" i="16"/>
  <c r="C155" i="16"/>
  <c r="D155" i="16"/>
  <c r="E155" i="16"/>
  <c r="F155" i="16"/>
  <c r="G155" i="16"/>
  <c r="H155" i="16"/>
  <c r="I155" i="16"/>
  <c r="J155" i="16"/>
  <c r="K155" i="16"/>
  <c r="L155" i="16"/>
  <c r="N155" i="16"/>
  <c r="O155" i="16"/>
  <c r="B156" i="16"/>
  <c r="C156" i="16"/>
  <c r="D156" i="16"/>
  <c r="E156" i="16"/>
  <c r="F156" i="16"/>
  <c r="G156" i="16"/>
  <c r="H156" i="16"/>
  <c r="I156" i="16"/>
  <c r="J156" i="16"/>
  <c r="K156" i="16"/>
  <c r="L156" i="16"/>
  <c r="N156" i="16"/>
  <c r="O156" i="16"/>
  <c r="B157" i="16"/>
  <c r="C157" i="16"/>
  <c r="D157" i="16"/>
  <c r="E157" i="16"/>
  <c r="F157" i="16"/>
  <c r="G157" i="16"/>
  <c r="H157" i="16"/>
  <c r="I157" i="16"/>
  <c r="J157" i="16"/>
  <c r="K157" i="16"/>
  <c r="L157" i="16"/>
  <c r="N157" i="16"/>
  <c r="O157" i="16"/>
  <c r="B158" i="16"/>
  <c r="C158" i="16"/>
  <c r="D158" i="16"/>
  <c r="E158" i="16"/>
  <c r="F158" i="16"/>
  <c r="G158" i="16"/>
  <c r="H158" i="16"/>
  <c r="I158" i="16"/>
  <c r="J158" i="16"/>
  <c r="K158" i="16"/>
  <c r="L158" i="16"/>
  <c r="N158" i="16"/>
  <c r="O158" i="16"/>
  <c r="B159" i="16"/>
  <c r="C159" i="16"/>
  <c r="D159" i="16"/>
  <c r="E159" i="16"/>
  <c r="F159" i="16"/>
  <c r="G159" i="16"/>
  <c r="H159" i="16"/>
  <c r="I159" i="16"/>
  <c r="J159" i="16"/>
  <c r="K159" i="16"/>
  <c r="L159" i="16"/>
  <c r="N159" i="16"/>
  <c r="O159" i="16"/>
  <c r="B160" i="16"/>
  <c r="C160" i="16"/>
  <c r="D160" i="16"/>
  <c r="E160" i="16"/>
  <c r="F160" i="16"/>
  <c r="G160" i="16"/>
  <c r="H160" i="16"/>
  <c r="I160" i="16"/>
  <c r="J160" i="16"/>
  <c r="K160" i="16"/>
  <c r="L160" i="16"/>
  <c r="N160" i="16"/>
  <c r="O160" i="16"/>
  <c r="B161" i="16"/>
  <c r="C161" i="16"/>
  <c r="D161" i="16"/>
  <c r="E161" i="16"/>
  <c r="F161" i="16"/>
  <c r="G161" i="16"/>
  <c r="H161" i="16"/>
  <c r="I161" i="16"/>
  <c r="J161" i="16"/>
  <c r="K161" i="16"/>
  <c r="L161" i="16"/>
  <c r="N161" i="16"/>
  <c r="O161" i="16"/>
  <c r="K162" i="16"/>
  <c r="B164" i="16"/>
  <c r="G4" i="11"/>
  <c r="K21" i="11"/>
  <c r="M11" i="11"/>
  <c r="O11" i="11"/>
  <c r="P11" i="11"/>
  <c r="M12" i="11"/>
  <c r="O12" i="11"/>
  <c r="M13" i="11"/>
  <c r="O13" i="11"/>
  <c r="M14" i="11"/>
  <c r="O14" i="11"/>
  <c r="M15" i="11"/>
  <c r="O15" i="11"/>
  <c r="M16" i="11"/>
  <c r="O16" i="11"/>
  <c r="G52" i="11"/>
  <c r="G50" i="11"/>
  <c r="J34" i="9"/>
  <c r="H117" i="1"/>
  <c r="G59" i="11"/>
  <c r="G60" i="11"/>
  <c r="G63" i="11"/>
  <c r="G64" i="11"/>
  <c r="G65" i="11"/>
  <c r="J44" i="9"/>
  <c r="K44" i="9"/>
  <c r="L44" i="9"/>
  <c r="M44" i="9"/>
  <c r="N44" i="9"/>
  <c r="I66" i="11"/>
  <c r="K66" i="11"/>
  <c r="G66" i="11"/>
  <c r="G69" i="11"/>
  <c r="G68" i="11"/>
  <c r="G72" i="11"/>
  <c r="G73" i="11"/>
  <c r="G76" i="11"/>
  <c r="G77" i="11"/>
  <c r="M82" i="11"/>
  <c r="M85" i="11"/>
  <c r="K89" i="11"/>
  <c r="M89" i="11"/>
  <c r="M90" i="11"/>
  <c r="K90" i="11"/>
  <c r="M91" i="11"/>
  <c r="K91" i="11"/>
  <c r="K93" i="11"/>
  <c r="M93" i="11"/>
  <c r="M97" i="11"/>
  <c r="K97" i="11"/>
  <c r="M98" i="11"/>
  <c r="K98" i="11"/>
  <c r="B35" i="10"/>
  <c r="M99" i="11"/>
  <c r="K99" i="11"/>
  <c r="K101" i="11"/>
  <c r="M101" i="11"/>
  <c r="I106" i="11"/>
  <c r="M106" i="11"/>
  <c r="I107" i="11"/>
  <c r="M107" i="11"/>
  <c r="I108" i="11"/>
  <c r="M108" i="11"/>
  <c r="M110" i="11"/>
  <c r="D22" i="18"/>
  <c r="S22" i="18"/>
  <c r="D23" i="18"/>
  <c r="S23" i="18"/>
  <c r="D24" i="18"/>
  <c r="S24" i="18"/>
  <c r="D25" i="18"/>
  <c r="S25" i="18"/>
  <c r="D26" i="18"/>
  <c r="S26" i="18"/>
  <c r="D27" i="18"/>
  <c r="S27" i="18"/>
  <c r="D28" i="18"/>
  <c r="S28" i="18"/>
  <c r="D29" i="18"/>
  <c r="S29" i="18"/>
  <c r="D30" i="18"/>
  <c r="S30" i="18"/>
  <c r="D31" i="18"/>
  <c r="S31" i="18"/>
  <c r="D32" i="18"/>
  <c r="S32" i="18"/>
  <c r="D33" i="18"/>
  <c r="S33" i="18"/>
  <c r="S34" i="18"/>
  <c r="I3" i="18"/>
  <c r="I5" i="18"/>
  <c r="K5" i="18"/>
  <c r="Q1" i="18"/>
  <c r="N175" i="1"/>
  <c r="L177" i="19"/>
  <c r="P149" i="24"/>
  <c r="T149" i="24"/>
  <c r="X215" i="24"/>
  <c r="P210" i="24"/>
  <c r="T210" i="24"/>
  <c r="P205" i="24"/>
  <c r="T205" i="24"/>
  <c r="P200" i="24"/>
  <c r="T200" i="24"/>
  <c r="P195" i="24"/>
  <c r="T195" i="24"/>
  <c r="P190" i="24"/>
  <c r="T190" i="24"/>
  <c r="P185" i="24"/>
  <c r="T185" i="24"/>
  <c r="T215" i="24"/>
  <c r="T216" i="24"/>
  <c r="P174" i="24"/>
  <c r="T174" i="24"/>
  <c r="G174" i="24"/>
  <c r="F174" i="24"/>
  <c r="P169" i="24"/>
  <c r="T169" i="24"/>
  <c r="G169" i="24"/>
  <c r="F169" i="24"/>
  <c r="P164" i="24"/>
  <c r="T164" i="24"/>
  <c r="G164" i="24"/>
  <c r="F164" i="24"/>
  <c r="P159" i="24"/>
  <c r="T159" i="24"/>
  <c r="G159" i="24"/>
  <c r="F159" i="24"/>
  <c r="P154" i="24"/>
  <c r="T154" i="24"/>
  <c r="G154" i="24"/>
  <c r="F154" i="24"/>
  <c r="G149" i="24"/>
  <c r="F149" i="24"/>
  <c r="X179" i="24"/>
  <c r="X143" i="24"/>
  <c r="P138" i="24"/>
  <c r="T138" i="24"/>
  <c r="P133" i="24"/>
  <c r="T133" i="24"/>
  <c r="P128" i="24"/>
  <c r="T128" i="24"/>
  <c r="P123" i="24"/>
  <c r="T123" i="24"/>
  <c r="P118" i="24"/>
  <c r="T118" i="24"/>
  <c r="P113" i="24"/>
  <c r="T113" i="24"/>
  <c r="F77" i="24"/>
  <c r="F82" i="24"/>
  <c r="F87" i="24"/>
  <c r="F92" i="24"/>
  <c r="F97" i="24"/>
  <c r="F102" i="24"/>
  <c r="X107" i="24"/>
  <c r="L104" i="24"/>
  <c r="P102" i="24"/>
  <c r="T102" i="24"/>
  <c r="L102" i="24"/>
  <c r="G102" i="24"/>
  <c r="L99" i="24"/>
  <c r="P97" i="24"/>
  <c r="T97" i="24"/>
  <c r="L97" i="24"/>
  <c r="G97" i="24"/>
  <c r="L94" i="24"/>
  <c r="P92" i="24"/>
  <c r="T92" i="24"/>
  <c r="L92" i="24"/>
  <c r="G92" i="24"/>
  <c r="L89" i="24"/>
  <c r="P87" i="24"/>
  <c r="T87" i="24"/>
  <c r="L87" i="24"/>
  <c r="G87" i="24"/>
  <c r="L84" i="24"/>
  <c r="P82" i="24"/>
  <c r="T82" i="24"/>
  <c r="L82" i="24"/>
  <c r="G82" i="24"/>
  <c r="L79" i="24"/>
  <c r="P77" i="24"/>
  <c r="T77" i="24"/>
  <c r="L77" i="24"/>
  <c r="G77" i="24"/>
  <c r="X71" i="24"/>
  <c r="P66" i="24"/>
  <c r="T66" i="24"/>
  <c r="P61" i="24"/>
  <c r="T61" i="24"/>
  <c r="P56" i="24"/>
  <c r="T56" i="24"/>
  <c r="P51" i="24"/>
  <c r="T51" i="24"/>
  <c r="P46" i="24"/>
  <c r="T46" i="24"/>
  <c r="P41" i="24"/>
  <c r="T41" i="24"/>
  <c r="L32" i="24"/>
  <c r="P30" i="24"/>
  <c r="T30" i="24"/>
  <c r="L30" i="24"/>
  <c r="G30" i="24"/>
  <c r="F30" i="24"/>
  <c r="L27" i="24"/>
  <c r="P25" i="24"/>
  <c r="T25" i="24"/>
  <c r="L25" i="24"/>
  <c r="G25" i="24"/>
  <c r="F25" i="24"/>
  <c r="L22" i="24"/>
  <c r="P20" i="24"/>
  <c r="T20" i="24"/>
  <c r="L20" i="24"/>
  <c r="G20" i="24"/>
  <c r="F20" i="24"/>
  <c r="L17" i="24"/>
  <c r="P15" i="24"/>
  <c r="T15" i="24"/>
  <c r="L15" i="24"/>
  <c r="G15" i="24"/>
  <c r="F15" i="24"/>
  <c r="L12" i="24"/>
  <c r="P10" i="24"/>
  <c r="T10" i="24"/>
  <c r="L10" i="24"/>
  <c r="G10" i="24"/>
  <c r="F10" i="24"/>
  <c r="L7" i="24"/>
  <c r="P5" i="24"/>
  <c r="T5" i="24"/>
  <c r="F5" i="24"/>
  <c r="T35" i="24"/>
  <c r="X35" i="24"/>
  <c r="T36" i="24"/>
  <c r="L5" i="24"/>
  <c r="T179" i="24"/>
  <c r="T180" i="24"/>
  <c r="T107" i="24"/>
  <c r="T108" i="24"/>
  <c r="T143" i="24"/>
  <c r="T144" i="24"/>
  <c r="T71" i="24"/>
  <c r="T72" i="24"/>
  <c r="K24" i="36"/>
  <c r="J24" i="36"/>
  <c r="A24" i="36"/>
  <c r="B24" i="36"/>
  <c r="AV221" i="36"/>
  <c r="AW221" i="36"/>
  <c r="AV220" i="36"/>
  <c r="AW220" i="36"/>
  <c r="AV219" i="36"/>
  <c r="AW219" i="36"/>
  <c r="AV218" i="36"/>
  <c r="AW218" i="36"/>
  <c r="AV217" i="36"/>
  <c r="AW217" i="36"/>
  <c r="AV216" i="36"/>
  <c r="AW216" i="36"/>
  <c r="AV215" i="36"/>
  <c r="AW215" i="36"/>
  <c r="AV214" i="36"/>
  <c r="AW214" i="36"/>
  <c r="AV213" i="36"/>
  <c r="AW213" i="36"/>
  <c r="AV212" i="36"/>
  <c r="AW212" i="36"/>
  <c r="AV211" i="36"/>
  <c r="AW211" i="36"/>
  <c r="AV210" i="36"/>
  <c r="AW210" i="36"/>
  <c r="AV209" i="36"/>
  <c r="AW209" i="36"/>
  <c r="AV208" i="36"/>
  <c r="AW208" i="36"/>
  <c r="AV207" i="36"/>
  <c r="AW207" i="36"/>
  <c r="AV206" i="36"/>
  <c r="AW206" i="36"/>
  <c r="AV205" i="36"/>
  <c r="AV204" i="36"/>
  <c r="AV203" i="36"/>
  <c r="AW203" i="36"/>
  <c r="AV202" i="36"/>
  <c r="AW202" i="36"/>
  <c r="AV201" i="36"/>
  <c r="AW201" i="36"/>
  <c r="AV200" i="36"/>
  <c r="AW200" i="36"/>
  <c r="AV199" i="36"/>
  <c r="AW199" i="36"/>
  <c r="AV198" i="36"/>
  <c r="AW198" i="36"/>
  <c r="AV197" i="36"/>
  <c r="AW197" i="36"/>
  <c r="AV196" i="36"/>
  <c r="AW196" i="36"/>
  <c r="AV195" i="36"/>
  <c r="AW195" i="36"/>
  <c r="AV194" i="36"/>
  <c r="AW194" i="36"/>
  <c r="AV193" i="36"/>
  <c r="AW193" i="36"/>
  <c r="AV192" i="36"/>
  <c r="AW192" i="36"/>
  <c r="AV191" i="36"/>
  <c r="AW191" i="36"/>
  <c r="AV190" i="36"/>
  <c r="AW190" i="36"/>
  <c r="AV189" i="36"/>
  <c r="AW189" i="36"/>
  <c r="AV188" i="36"/>
  <c r="AW188" i="36"/>
  <c r="AV187" i="36"/>
  <c r="AV186" i="36"/>
  <c r="AV185" i="36"/>
  <c r="AW185" i="36"/>
  <c r="AV184" i="36"/>
  <c r="AW184" i="36"/>
  <c r="AV183" i="36"/>
  <c r="AW183" i="36"/>
  <c r="AV182" i="36"/>
  <c r="AW182" i="36"/>
  <c r="AV181" i="36"/>
  <c r="AW181" i="36"/>
  <c r="AV180" i="36"/>
  <c r="AW180" i="36"/>
  <c r="AV179" i="36"/>
  <c r="AW179" i="36"/>
  <c r="AV178" i="36"/>
  <c r="AW178" i="36"/>
  <c r="AV177" i="36"/>
  <c r="AW177" i="36"/>
  <c r="AV176" i="36"/>
  <c r="AW176" i="36"/>
  <c r="AV175" i="36"/>
  <c r="AW175" i="36"/>
  <c r="AV174" i="36"/>
  <c r="AW174" i="36"/>
  <c r="AV173" i="36"/>
  <c r="AW173" i="36"/>
  <c r="AV172" i="36"/>
  <c r="AW172" i="36"/>
  <c r="AV171" i="36"/>
  <c r="AW171" i="36"/>
  <c r="AV170" i="36"/>
  <c r="AW170" i="36"/>
  <c r="AV169" i="36"/>
  <c r="AV168" i="36"/>
  <c r="AV167" i="36"/>
  <c r="AW167" i="36"/>
  <c r="AV166" i="36"/>
  <c r="AW166" i="36"/>
  <c r="AV165" i="36"/>
  <c r="AW165" i="36"/>
  <c r="AV164" i="36"/>
  <c r="AW164" i="36"/>
  <c r="AV163" i="36"/>
  <c r="AW163" i="36"/>
  <c r="AV162" i="36"/>
  <c r="AW162" i="36"/>
  <c r="AV161" i="36"/>
  <c r="AW161" i="36"/>
  <c r="AV160" i="36"/>
  <c r="AW160" i="36"/>
  <c r="AV159" i="36"/>
  <c r="AW159" i="36"/>
  <c r="AV158" i="36"/>
  <c r="AW158" i="36"/>
  <c r="AV157" i="36"/>
  <c r="AW157" i="36"/>
  <c r="AV156" i="36"/>
  <c r="AW156" i="36"/>
  <c r="AV155" i="36"/>
  <c r="AW155" i="36"/>
  <c r="AV154" i="36"/>
  <c r="AW154" i="36"/>
  <c r="AV153" i="36"/>
  <c r="AW153" i="36"/>
  <c r="AV152" i="36"/>
  <c r="AW152" i="36"/>
  <c r="AV151" i="36"/>
  <c r="AV150" i="36"/>
  <c r="AV149" i="36"/>
  <c r="AW149" i="36"/>
  <c r="AV148" i="36"/>
  <c r="AW148" i="36"/>
  <c r="AV147" i="36"/>
  <c r="AW147" i="36"/>
  <c r="AV146" i="36"/>
  <c r="AW146" i="36"/>
  <c r="AV145" i="36"/>
  <c r="AW145" i="36"/>
  <c r="AV144" i="36"/>
  <c r="AW144" i="36"/>
  <c r="AV143" i="36"/>
  <c r="AW143" i="36"/>
  <c r="AV142" i="36"/>
  <c r="AW142" i="36"/>
  <c r="AV141" i="36"/>
  <c r="AW141" i="36"/>
  <c r="AV140" i="36"/>
  <c r="AW140" i="36"/>
  <c r="AV139" i="36"/>
  <c r="AW139" i="36"/>
  <c r="AV138" i="36"/>
  <c r="AW138" i="36"/>
  <c r="AV137" i="36"/>
  <c r="AW137" i="36"/>
  <c r="AV136" i="36"/>
  <c r="AW136" i="36"/>
  <c r="AV135" i="36"/>
  <c r="AW135" i="36"/>
  <c r="AV134" i="36"/>
  <c r="AW134" i="36"/>
  <c r="AV133" i="36"/>
  <c r="AV132" i="36"/>
  <c r="AV131" i="36"/>
  <c r="AW131" i="36"/>
  <c r="AV130" i="36"/>
  <c r="AW130" i="36"/>
  <c r="AV129" i="36"/>
  <c r="AW129" i="36"/>
  <c r="AV128" i="36"/>
  <c r="AW128" i="36"/>
  <c r="AV127" i="36"/>
  <c r="AW127" i="36"/>
  <c r="AV126" i="36"/>
  <c r="AW126" i="36"/>
  <c r="AV125" i="36"/>
  <c r="AW125" i="36"/>
  <c r="AV124" i="36"/>
  <c r="AW124" i="36"/>
  <c r="AV123" i="36"/>
  <c r="AW123" i="36"/>
  <c r="AV122" i="36"/>
  <c r="AW122" i="36"/>
  <c r="AV121" i="36"/>
  <c r="AW121" i="36"/>
  <c r="AV120" i="36"/>
  <c r="AW120" i="36"/>
  <c r="AV119" i="36"/>
  <c r="AW119" i="36"/>
  <c r="AV118" i="36"/>
  <c r="AW118" i="36"/>
  <c r="AV117" i="36"/>
  <c r="AW117" i="36"/>
  <c r="AV116" i="36"/>
  <c r="AW116" i="36"/>
  <c r="AV115" i="36"/>
  <c r="AV114" i="36"/>
  <c r="AV113" i="36"/>
  <c r="AW113" i="36"/>
  <c r="AV112" i="36"/>
  <c r="AW112" i="36"/>
  <c r="AV111" i="36"/>
  <c r="AW111" i="36"/>
  <c r="AV110" i="36"/>
  <c r="AW110" i="36"/>
  <c r="AV109" i="36"/>
  <c r="AW109" i="36"/>
  <c r="AV108" i="36"/>
  <c r="AW108" i="36"/>
  <c r="AV107" i="36"/>
  <c r="AW107" i="36"/>
  <c r="AV106" i="36"/>
  <c r="AW106" i="36"/>
  <c r="AV105" i="36"/>
  <c r="AW105" i="36"/>
  <c r="AV104" i="36"/>
  <c r="AW104" i="36"/>
  <c r="AV103" i="36"/>
  <c r="AW103" i="36"/>
  <c r="AV102" i="36"/>
  <c r="AW102" i="36"/>
  <c r="AV101" i="36"/>
  <c r="AW101" i="36"/>
  <c r="AV100" i="36"/>
  <c r="AW100" i="36"/>
  <c r="AV99" i="36"/>
  <c r="AW99" i="36"/>
  <c r="AV98" i="36"/>
  <c r="AW98" i="36"/>
  <c r="AV97" i="36"/>
  <c r="AV96" i="36"/>
  <c r="AV95" i="36"/>
  <c r="AW95" i="36"/>
  <c r="AV94" i="36"/>
  <c r="AW94" i="36"/>
  <c r="AV93" i="36"/>
  <c r="AW93" i="36"/>
  <c r="AV92" i="36"/>
  <c r="AW92" i="36"/>
  <c r="AV91" i="36"/>
  <c r="AW91" i="36"/>
  <c r="AV90" i="36"/>
  <c r="AW90" i="36"/>
  <c r="AV89" i="36"/>
  <c r="AW89" i="36"/>
  <c r="AV88" i="36"/>
  <c r="AW88" i="36"/>
  <c r="AV87" i="36"/>
  <c r="AW87" i="36"/>
  <c r="AV86" i="36"/>
  <c r="AW86" i="36"/>
  <c r="AV85" i="36"/>
  <c r="AW85" i="36"/>
  <c r="AV84" i="36"/>
  <c r="AW84" i="36"/>
  <c r="AV83" i="36"/>
  <c r="AW83" i="36"/>
  <c r="AV82" i="36"/>
  <c r="AW82" i="36"/>
  <c r="AV81" i="36"/>
  <c r="AW81" i="36"/>
  <c r="AV80" i="36"/>
  <c r="AW80" i="36"/>
  <c r="AV79" i="36"/>
  <c r="AV78" i="36"/>
  <c r="AV77" i="36"/>
  <c r="AW77" i="36"/>
  <c r="AV76" i="36"/>
  <c r="AW76" i="36"/>
  <c r="AV75" i="36"/>
  <c r="AW75" i="36"/>
  <c r="AV74" i="36"/>
  <c r="AW74" i="36"/>
  <c r="AV73" i="36"/>
  <c r="AW73" i="36"/>
  <c r="AV72" i="36"/>
  <c r="AW72" i="36"/>
  <c r="AV71" i="36"/>
  <c r="AW71" i="36"/>
  <c r="AV70" i="36"/>
  <c r="AW70" i="36"/>
  <c r="AV69" i="36"/>
  <c r="AW69" i="36"/>
  <c r="AV68" i="36"/>
  <c r="AW68" i="36"/>
  <c r="AV67" i="36"/>
  <c r="AW67" i="36"/>
  <c r="AV66" i="36"/>
  <c r="AW66" i="36"/>
  <c r="AV65" i="36"/>
  <c r="AW65" i="36"/>
  <c r="AV64" i="36"/>
  <c r="AW64" i="36"/>
  <c r="AV63" i="36"/>
  <c r="AW63" i="36"/>
  <c r="AV62" i="36"/>
  <c r="AW62" i="36"/>
  <c r="AV61" i="36"/>
  <c r="AV60" i="36"/>
  <c r="AV59" i="36"/>
  <c r="AW59" i="36"/>
  <c r="AV58" i="36"/>
  <c r="AW58" i="36"/>
  <c r="AV57" i="36"/>
  <c r="AW57" i="36"/>
  <c r="AV56" i="36"/>
  <c r="AW56" i="36"/>
  <c r="AV55" i="36"/>
  <c r="AW55" i="36"/>
  <c r="AV54" i="36"/>
  <c r="AW54" i="36"/>
  <c r="AV53" i="36"/>
  <c r="AW53" i="36"/>
  <c r="AV52" i="36"/>
  <c r="AW52" i="36"/>
  <c r="AV51" i="36"/>
  <c r="AW51" i="36"/>
  <c r="AV50" i="36"/>
  <c r="AW50" i="36"/>
  <c r="AV49" i="36"/>
  <c r="AW49" i="36"/>
  <c r="AV48" i="36"/>
  <c r="AW48" i="36"/>
  <c r="AV47" i="36"/>
  <c r="AW47" i="36"/>
  <c r="AV46" i="36"/>
  <c r="AW46" i="36"/>
  <c r="AV45" i="36"/>
  <c r="AW45" i="36"/>
  <c r="AV44" i="36"/>
  <c r="AW44" i="36"/>
  <c r="AV43" i="36"/>
  <c r="AV42" i="36"/>
  <c r="AV41" i="36"/>
  <c r="AW41" i="36"/>
  <c r="AV40" i="36"/>
  <c r="AW40" i="36"/>
  <c r="AV39" i="36"/>
  <c r="AW39" i="36"/>
  <c r="AV38" i="36"/>
  <c r="AW38" i="36"/>
  <c r="AV37" i="36"/>
  <c r="AW37" i="36"/>
  <c r="AV36" i="36"/>
  <c r="AW36" i="36"/>
  <c r="AV35" i="36"/>
  <c r="AW35" i="36"/>
  <c r="AV34" i="36"/>
  <c r="AW34" i="36"/>
  <c r="AV33" i="36"/>
  <c r="AW33" i="36"/>
  <c r="AV32" i="36"/>
  <c r="AW32" i="36"/>
  <c r="AV31" i="36"/>
  <c r="AW31" i="36"/>
  <c r="AV30" i="36"/>
  <c r="AW30" i="36"/>
  <c r="AV29" i="36"/>
  <c r="AW29" i="36"/>
  <c r="AV28" i="36"/>
  <c r="AW28" i="36"/>
  <c r="AV27" i="36"/>
  <c r="AW27" i="36"/>
  <c r="AV26" i="36"/>
  <c r="AW26" i="36"/>
  <c r="AV25" i="36"/>
  <c r="AV24" i="36"/>
  <c r="AV23" i="36"/>
  <c r="AW23" i="36"/>
  <c r="AV22" i="36"/>
  <c r="AW22" i="36"/>
  <c r="AV21" i="36"/>
  <c r="AW21" i="36"/>
  <c r="AV20" i="36"/>
  <c r="AW20" i="36"/>
  <c r="AV19" i="36"/>
  <c r="AW19" i="36"/>
  <c r="AV18" i="36"/>
  <c r="AW18" i="36"/>
  <c r="AV17" i="36"/>
  <c r="AW17" i="36"/>
  <c r="AV16" i="36"/>
  <c r="AW16" i="36"/>
  <c r="AV15" i="36"/>
  <c r="AW15" i="36"/>
  <c r="AV14" i="36"/>
  <c r="AW14" i="36"/>
  <c r="AV13" i="36"/>
  <c r="AW13" i="36"/>
  <c r="AV12" i="36"/>
  <c r="AW12" i="36"/>
  <c r="AV11" i="36"/>
  <c r="AW11" i="36"/>
  <c r="AV10" i="36"/>
  <c r="AW10" i="36"/>
  <c r="AV9" i="36"/>
  <c r="AW9" i="36"/>
  <c r="AV8" i="36"/>
  <c r="AW8" i="36"/>
  <c r="AC205" i="36"/>
  <c r="AC204" i="36"/>
  <c r="AC187" i="36"/>
  <c r="AC186" i="36"/>
  <c r="AC169" i="36"/>
  <c r="AC168" i="36"/>
  <c r="AC151" i="36"/>
  <c r="AC150" i="36"/>
  <c r="AC133" i="36"/>
  <c r="AC132" i="36"/>
  <c r="AC115" i="36"/>
  <c r="AC114" i="36"/>
  <c r="AC97" i="36"/>
  <c r="AC96" i="36"/>
  <c r="AC79" i="36"/>
  <c r="AC78" i="36"/>
  <c r="AC61" i="36"/>
  <c r="AC60" i="36"/>
  <c r="AC43" i="36"/>
  <c r="AC42" i="36"/>
  <c r="AC25" i="36"/>
  <c r="AC24" i="36"/>
  <c r="AS3" i="36"/>
  <c r="AS2" i="36"/>
  <c r="AX221" i="36"/>
  <c r="AX220" i="36"/>
  <c r="AX219" i="36"/>
  <c r="AX218" i="36"/>
  <c r="AX217" i="36"/>
  <c r="AX216" i="36"/>
  <c r="AX215" i="36"/>
  <c r="AX214" i="36"/>
  <c r="AX213" i="36"/>
  <c r="AX212" i="36"/>
  <c r="AX211" i="36"/>
  <c r="AX210" i="36"/>
  <c r="AX209" i="36"/>
  <c r="AX208" i="36"/>
  <c r="AX207" i="36"/>
  <c r="AX206" i="36"/>
  <c r="AX203" i="36"/>
  <c r="AX202" i="36"/>
  <c r="AX201" i="36"/>
  <c r="AX200" i="36"/>
  <c r="AX199" i="36"/>
  <c r="AX198" i="36"/>
  <c r="AX197" i="36"/>
  <c r="AX196" i="36"/>
  <c r="AX195" i="36"/>
  <c r="AX194" i="36"/>
  <c r="AX193" i="36"/>
  <c r="AX192" i="36"/>
  <c r="AX191" i="36"/>
  <c r="AX190" i="36"/>
  <c r="AX189" i="36"/>
  <c r="AX188" i="36"/>
  <c r="AX185" i="36"/>
  <c r="AX184" i="36"/>
  <c r="AX183" i="36"/>
  <c r="AX182" i="36"/>
  <c r="AX181" i="36"/>
  <c r="AX180" i="36"/>
  <c r="AX179" i="36"/>
  <c r="AX178" i="36"/>
  <c r="AX177" i="36"/>
  <c r="AX176" i="36"/>
  <c r="AX175" i="36"/>
  <c r="AX174" i="36"/>
  <c r="AX173" i="36"/>
  <c r="AX172" i="36"/>
  <c r="AX171" i="36"/>
  <c r="AX170" i="36"/>
  <c r="AX167" i="36"/>
  <c r="AX166" i="36"/>
  <c r="AX165" i="36"/>
  <c r="AX164" i="36"/>
  <c r="AX163" i="36"/>
  <c r="AX162" i="36"/>
  <c r="AX161" i="36"/>
  <c r="AX160" i="36"/>
  <c r="AX159" i="36"/>
  <c r="AX158" i="36"/>
  <c r="AX157" i="36"/>
  <c r="AX156" i="36"/>
  <c r="AX155" i="36"/>
  <c r="AX154" i="36"/>
  <c r="AX153" i="36"/>
  <c r="AX152" i="36"/>
  <c r="AX149" i="36"/>
  <c r="AX148" i="36"/>
  <c r="AX147" i="36"/>
  <c r="AX146" i="36"/>
  <c r="AX145" i="36"/>
  <c r="AX144" i="36"/>
  <c r="AX143" i="36"/>
  <c r="AX142" i="36"/>
  <c r="AX141" i="36"/>
  <c r="AX140" i="36"/>
  <c r="AX139" i="36"/>
  <c r="AX138" i="36"/>
  <c r="AX137" i="36"/>
  <c r="AX136" i="36"/>
  <c r="AX135" i="36"/>
  <c r="AX134" i="36"/>
  <c r="AX131" i="36"/>
  <c r="AX130" i="36"/>
  <c r="AX129" i="36"/>
  <c r="AX128" i="36"/>
  <c r="AX127" i="36"/>
  <c r="AX126" i="36"/>
  <c r="AX125" i="36"/>
  <c r="AX124" i="36"/>
  <c r="AX123" i="36"/>
  <c r="AX122" i="36"/>
  <c r="AX121" i="36"/>
  <c r="AX120" i="36"/>
  <c r="AX119" i="36"/>
  <c r="AX118" i="36"/>
  <c r="AX117" i="36"/>
  <c r="AX116" i="36"/>
  <c r="AX113" i="36"/>
  <c r="AX112" i="36"/>
  <c r="AX111" i="36"/>
  <c r="AX110" i="36"/>
  <c r="AX109" i="36"/>
  <c r="AX108" i="36"/>
  <c r="AX107" i="36"/>
  <c r="AX106" i="36"/>
  <c r="AX105" i="36"/>
  <c r="AX104" i="36"/>
  <c r="AX103" i="36"/>
  <c r="AX102" i="36"/>
  <c r="AX101" i="36"/>
  <c r="AX100" i="36"/>
  <c r="AX99" i="36"/>
  <c r="AX98" i="36"/>
  <c r="AX95" i="36"/>
  <c r="AX94" i="36"/>
  <c r="AX93" i="36"/>
  <c r="AX92" i="36"/>
  <c r="AX91" i="36"/>
  <c r="AX90" i="36"/>
  <c r="AX89" i="36"/>
  <c r="AX88" i="36"/>
  <c r="AX87" i="36"/>
  <c r="AX86" i="36"/>
  <c r="AX85" i="36"/>
  <c r="AX84" i="36"/>
  <c r="AX83" i="36"/>
  <c r="AX82" i="36"/>
  <c r="AX81" i="36"/>
  <c r="AX80" i="36"/>
  <c r="AX77" i="36"/>
  <c r="AX76" i="36"/>
  <c r="AX75" i="36"/>
  <c r="AX74" i="36"/>
  <c r="AX73" i="36"/>
  <c r="AX72" i="36"/>
  <c r="AX71" i="36"/>
  <c r="AX70" i="36"/>
  <c r="AX69" i="36"/>
  <c r="AX68" i="36"/>
  <c r="AX67" i="36"/>
  <c r="AX66" i="36"/>
  <c r="AX65" i="36"/>
  <c r="AX64" i="36"/>
  <c r="AX63" i="36"/>
  <c r="AX62" i="36"/>
  <c r="AX59" i="36"/>
  <c r="AX58" i="36"/>
  <c r="AX57" i="36"/>
  <c r="AX56" i="36"/>
  <c r="AX55" i="36"/>
  <c r="AX54" i="36"/>
  <c r="AX53" i="36"/>
  <c r="AX52" i="36"/>
  <c r="AX51" i="36"/>
  <c r="AX50" i="36"/>
  <c r="AX49" i="36"/>
  <c r="AX48" i="36"/>
  <c r="AX47" i="36"/>
  <c r="AX46" i="36"/>
  <c r="AX45" i="36"/>
  <c r="AX44" i="36"/>
  <c r="AX41" i="36"/>
  <c r="AX40" i="36"/>
  <c r="AX39" i="36"/>
  <c r="AX38" i="36"/>
  <c r="AX37" i="36"/>
  <c r="AX36" i="36"/>
  <c r="AX35" i="36"/>
  <c r="AX34" i="36"/>
  <c r="AX33" i="36"/>
  <c r="AX32" i="36"/>
  <c r="AX31" i="36"/>
  <c r="AX30" i="36"/>
  <c r="AX29" i="36"/>
  <c r="AX28" i="36"/>
  <c r="AX27" i="36"/>
  <c r="AX26" i="36"/>
  <c r="AX23" i="36"/>
  <c r="AX22" i="36"/>
  <c r="AX21" i="36"/>
  <c r="AX20" i="36"/>
  <c r="AX19" i="36"/>
  <c r="AX18" i="36"/>
  <c r="AX17" i="36"/>
  <c r="AX16" i="36"/>
  <c r="AX15" i="36"/>
  <c r="AX14" i="36"/>
  <c r="AX13" i="36"/>
  <c r="AX12" i="36"/>
  <c r="AX11" i="36"/>
  <c r="AX10" i="36"/>
  <c r="AX9" i="36"/>
  <c r="AX8" i="36"/>
  <c r="F138" i="28"/>
  <c r="F106" i="28"/>
  <c r="D76" i="29"/>
  <c r="D4" i="10"/>
  <c r="N146" i="1"/>
  <c r="D25" i="10"/>
  <c r="N149" i="1"/>
  <c r="D31" i="10"/>
  <c r="N151" i="1"/>
  <c r="N155" i="1"/>
  <c r="D35" i="10"/>
  <c r="D60" i="10"/>
  <c r="N185" i="1"/>
  <c r="C84" i="10"/>
  <c r="N194" i="1"/>
  <c r="C85" i="10"/>
  <c r="C86" i="10"/>
  <c r="D71" i="10"/>
  <c r="N188" i="1"/>
  <c r="C88" i="10"/>
  <c r="C89" i="10"/>
  <c r="N190" i="1"/>
  <c r="C82" i="10"/>
  <c r="D48" i="10"/>
  <c r="H213" i="1"/>
  <c r="H214" i="1"/>
  <c r="H212" i="1"/>
  <c r="H217" i="1"/>
  <c r="O17" i="9"/>
  <c r="P4" i="30"/>
  <c r="F10" i="19"/>
  <c r="B141" i="34"/>
  <c r="H83" i="34"/>
  <c r="H142" i="34"/>
  <c r="H80" i="34"/>
  <c r="H71" i="34"/>
  <c r="H73" i="34"/>
  <c r="K140" i="34"/>
  <c r="K139" i="34"/>
  <c r="K138" i="34"/>
  <c r="K137" i="34"/>
  <c r="I127" i="34"/>
  <c r="E126" i="34"/>
  <c r="D126" i="34"/>
  <c r="C126" i="34"/>
  <c r="E125" i="34"/>
  <c r="D125" i="34"/>
  <c r="C125" i="34"/>
  <c r="B125" i="34"/>
  <c r="C118" i="34"/>
  <c r="B118" i="34"/>
  <c r="H106" i="34"/>
  <c r="H105" i="34"/>
  <c r="H104" i="34"/>
  <c r="H103" i="34"/>
  <c r="H102" i="34"/>
  <c r="H97" i="34"/>
  <c r="H96" i="34"/>
  <c r="H95" i="34"/>
  <c r="H98" i="34"/>
  <c r="E97" i="34"/>
  <c r="H94" i="34"/>
  <c r="H93" i="34"/>
  <c r="H84" i="34"/>
  <c r="H82" i="34"/>
  <c r="H81" i="34"/>
  <c r="H75" i="34"/>
  <c r="H74" i="34"/>
  <c r="H72" i="34"/>
  <c r="H18" i="34"/>
  <c r="H17" i="34"/>
  <c r="H20" i="34"/>
  <c r="H21" i="34"/>
  <c r="H22" i="34"/>
  <c r="H23" i="34"/>
  <c r="E23" i="34"/>
  <c r="H8" i="34"/>
  <c r="H7" i="34"/>
  <c r="H10" i="34"/>
  <c r="H11" i="34"/>
  <c r="H12" i="34"/>
  <c r="H13" i="34"/>
  <c r="E13" i="34"/>
  <c r="H76" i="34"/>
  <c r="E75" i="34"/>
  <c r="F11" i="28"/>
  <c r="F81" i="28"/>
  <c r="F49" i="28"/>
  <c r="I102" i="9"/>
  <c r="D52" i="29"/>
  <c r="B3" i="9"/>
  <c r="C3" i="9"/>
  <c r="D3" i="9"/>
  <c r="E3" i="9"/>
  <c r="F3" i="9"/>
  <c r="G3" i="9"/>
  <c r="F120" i="28"/>
  <c r="D53" i="29"/>
  <c r="G15" i="9"/>
  <c r="F15" i="9"/>
  <c r="E15" i="9"/>
  <c r="D15" i="9"/>
  <c r="C15" i="9"/>
  <c r="B15" i="9"/>
  <c r="J3" i="9"/>
  <c r="F46" i="28"/>
  <c r="F17" i="28"/>
  <c r="B48" i="10"/>
  <c r="K181" i="19"/>
  <c r="K63" i="19"/>
  <c r="H51" i="19"/>
  <c r="H50" i="19"/>
  <c r="H49" i="19"/>
  <c r="H53" i="19"/>
  <c r="F119" i="28"/>
  <c r="F113" i="28"/>
  <c r="F145" i="9"/>
  <c r="D53" i="19"/>
  <c r="F47" i="28"/>
  <c r="F16" i="28"/>
  <c r="F39" i="28"/>
  <c r="F86" i="28"/>
  <c r="F157" i="28"/>
  <c r="C102" i="9"/>
  <c r="F38" i="28"/>
  <c r="F85" i="28"/>
  <c r="F156" i="28"/>
  <c r="F37" i="28"/>
  <c r="F84" i="28"/>
  <c r="F155" i="28"/>
  <c r="F80" i="28"/>
  <c r="F150" i="28"/>
  <c r="F160" i="28"/>
  <c r="F163" i="28"/>
  <c r="F79" i="28"/>
  <c r="F149" i="28"/>
  <c r="F159" i="28"/>
  <c r="F162" i="28"/>
  <c r="F61" i="28"/>
  <c r="F30" i="28"/>
  <c r="F59" i="28"/>
  <c r="F28" i="28"/>
  <c r="F58" i="28"/>
  <c r="F27" i="28"/>
  <c r="F100" i="29"/>
  <c r="F22" i="28"/>
  <c r="C116" i="9"/>
  <c r="F45" i="28"/>
  <c r="F15" i="28"/>
  <c r="F14" i="28"/>
  <c r="F12" i="28"/>
  <c r="F10" i="28"/>
  <c r="L19" i="28"/>
  <c r="F136" i="9"/>
  <c r="F62" i="28"/>
  <c r="D259" i="1"/>
  <c r="H259" i="1"/>
  <c r="D260" i="1"/>
  <c r="H260" i="1"/>
  <c r="D261" i="1"/>
  <c r="H261" i="1"/>
  <c r="D262" i="1"/>
  <c r="H262" i="1"/>
  <c r="D263" i="1"/>
  <c r="H263" i="1"/>
  <c r="F48" i="28"/>
  <c r="F43" i="28"/>
  <c r="H14" i="9"/>
  <c r="H13" i="9"/>
  <c r="H15" i="9"/>
  <c r="H12" i="9"/>
  <c r="H11" i="9"/>
  <c r="H10" i="9"/>
  <c r="H9" i="9"/>
  <c r="H8" i="9"/>
  <c r="H7" i="9"/>
  <c r="H5" i="9"/>
  <c r="J235" i="1"/>
  <c r="J236" i="1"/>
  <c r="J237" i="1"/>
  <c r="F239" i="1"/>
  <c r="F35" i="10"/>
  <c r="J249" i="1"/>
  <c r="J251" i="1"/>
  <c r="F93" i="29"/>
  <c r="F43" i="29"/>
  <c r="D43" i="29"/>
  <c r="D32" i="29"/>
  <c r="F32" i="29"/>
  <c r="F147" i="28"/>
  <c r="F146" i="28"/>
  <c r="F142" i="28"/>
  <c r="F137" i="28"/>
  <c r="F131" i="28"/>
  <c r="F125" i="28"/>
  <c r="F107" i="28"/>
  <c r="F143" i="28"/>
  <c r="F141" i="28"/>
  <c r="F132" i="28"/>
  <c r="F126" i="28"/>
  <c r="F118" i="28"/>
  <c r="F114" i="28"/>
  <c r="F108" i="28"/>
  <c r="F44" i="28"/>
  <c r="F41" i="28"/>
  <c r="M181" i="19"/>
  <c r="K160" i="19"/>
  <c r="J91" i="19"/>
  <c r="F86" i="19"/>
  <c r="E130" i="9"/>
  <c r="AE121" i="21"/>
  <c r="AE88" i="21"/>
  <c r="AE45" i="21"/>
  <c r="Y93" i="21"/>
  <c r="Y51" i="21"/>
  <c r="Y4" i="21"/>
  <c r="Y122" i="21"/>
  <c r="Y121" i="21"/>
  <c r="H101" i="21"/>
  <c r="H100" i="21"/>
  <c r="Y89" i="21"/>
  <c r="Y88" i="21"/>
  <c r="H75" i="21"/>
  <c r="H74" i="21"/>
  <c r="AA71" i="21"/>
  <c r="AA70" i="21"/>
  <c r="AA69" i="21"/>
  <c r="AA68" i="21"/>
  <c r="AA66" i="21"/>
  <c r="AA65" i="21"/>
  <c r="J71" i="21"/>
  <c r="J70" i="21"/>
  <c r="J69" i="21"/>
  <c r="J68" i="21"/>
  <c r="J67" i="21"/>
  <c r="J66" i="21"/>
  <c r="J65" i="21"/>
  <c r="H71" i="21"/>
  <c r="H70" i="21"/>
  <c r="H69" i="21"/>
  <c r="H68" i="21"/>
  <c r="H66" i="21"/>
  <c r="H65" i="21"/>
  <c r="Y46" i="21"/>
  <c r="Y45" i="21"/>
  <c r="F48" i="10"/>
  <c r="J250" i="1"/>
  <c r="D77" i="10"/>
  <c r="H2" i="9"/>
  <c r="H4" i="9"/>
  <c r="H82" i="9"/>
  <c r="H84" i="9"/>
  <c r="H83" i="9"/>
  <c r="H85" i="9"/>
  <c r="H86" i="9"/>
  <c r="H87" i="9"/>
  <c r="H88" i="9"/>
  <c r="G4" i="1"/>
  <c r="G5" i="1"/>
  <c r="G6" i="1"/>
  <c r="G7" i="1"/>
  <c r="G8" i="1"/>
  <c r="D287" i="1"/>
  <c r="H5" i="21"/>
  <c r="H7" i="21"/>
  <c r="H8" i="21"/>
  <c r="X8" i="21"/>
  <c r="H9" i="21"/>
  <c r="X9" i="21"/>
  <c r="S13" i="21"/>
  <c r="U13" i="21"/>
  <c r="S15" i="21"/>
  <c r="U15" i="21"/>
  <c r="S17" i="21"/>
  <c r="U17" i="21"/>
  <c r="S19" i="21"/>
  <c r="U19" i="21"/>
  <c r="S21" i="21"/>
  <c r="U21" i="21"/>
  <c r="S23" i="21"/>
  <c r="U23" i="21"/>
  <c r="S25" i="21"/>
  <c r="U25" i="21"/>
  <c r="H61" i="19"/>
  <c r="H62" i="19"/>
  <c r="H63" i="19"/>
  <c r="N123" i="19"/>
  <c r="N126" i="19"/>
  <c r="R33" i="21"/>
  <c r="H27" i="21"/>
  <c r="O19" i="21"/>
  <c r="O17" i="21"/>
  <c r="O21" i="21"/>
  <c r="O13" i="21"/>
  <c r="O15" i="21"/>
  <c r="O23" i="21"/>
  <c r="O25" i="21"/>
  <c r="M15" i="21"/>
  <c r="M25" i="21"/>
  <c r="M19" i="21"/>
  <c r="M13" i="21"/>
  <c r="M23" i="21"/>
  <c r="M21" i="21"/>
  <c r="M17" i="21"/>
  <c r="C34" i="21"/>
  <c r="C33" i="21"/>
  <c r="Z27" i="21"/>
  <c r="AE19" i="21"/>
  <c r="AE23" i="21"/>
  <c r="AE25" i="21"/>
  <c r="AE17" i="21"/>
  <c r="AE13" i="21"/>
  <c r="AE15" i="21"/>
  <c r="AE21" i="21"/>
  <c r="AC15" i="21"/>
  <c r="AC25" i="21"/>
  <c r="AC23" i="21"/>
  <c r="AC21" i="21"/>
  <c r="AC13" i="21"/>
  <c r="AC17" i="21"/>
  <c r="AC19" i="21"/>
  <c r="H3" i="9"/>
  <c r="B93" i="21"/>
  <c r="B4" i="21"/>
  <c r="F130" i="28"/>
  <c r="F112" i="28"/>
  <c r="N145" i="19"/>
  <c r="H64" i="19"/>
  <c r="F121" i="28"/>
  <c r="F296" i="1"/>
  <c r="F51" i="28"/>
  <c r="F20" i="28"/>
  <c r="J160" i="19"/>
  <c r="N120" i="19"/>
  <c r="D15" i="29"/>
  <c r="F9" i="28"/>
  <c r="B51" i="21"/>
  <c r="J141" i="34"/>
  <c r="J137" i="34"/>
  <c r="H107" i="34"/>
  <c r="E106" i="34"/>
  <c r="E109" i="34"/>
  <c r="H85" i="34"/>
  <c r="E84" i="34"/>
  <c r="E87" i="34"/>
  <c r="H264" i="1"/>
  <c r="N142" i="19"/>
  <c r="F124" i="28"/>
  <c r="F136" i="28"/>
  <c r="X5" i="21"/>
  <c r="P82" i="9"/>
  <c r="D14" i="29"/>
  <c r="H171" i="19"/>
  <c r="H173" i="19"/>
  <c r="N157" i="1"/>
  <c r="N132" i="19"/>
  <c r="D36" i="29"/>
  <c r="M63" i="9"/>
  <c r="F107" i="9"/>
  <c r="F75" i="28"/>
  <c r="K64" i="9"/>
  <c r="J34" i="1"/>
  <c r="H68" i="19"/>
  <c r="L52" i="9"/>
  <c r="N82" i="9"/>
  <c r="M73" i="9"/>
  <c r="G107" i="9"/>
  <c r="F76" i="28"/>
  <c r="AE77" i="21"/>
  <c r="X6" i="21"/>
  <c r="K82" i="9"/>
  <c r="L73" i="9"/>
  <c r="H107" i="9"/>
  <c r="F77" i="28"/>
  <c r="J52" i="9"/>
  <c r="M82" i="9"/>
  <c r="F2" i="1"/>
  <c r="O82" i="9"/>
  <c r="J82" i="9"/>
  <c r="K73" i="9"/>
  <c r="BH18" i="36"/>
  <c r="BH14" i="36"/>
  <c r="BH10" i="36"/>
  <c r="BH19" i="36"/>
  <c r="BH15" i="36"/>
  <c r="BH11" i="36"/>
  <c r="BH16" i="36"/>
  <c r="BH12" i="36"/>
  <c r="BH17" i="36"/>
  <c r="BH13" i="36"/>
  <c r="BH9" i="36"/>
  <c r="F13" i="28"/>
  <c r="H6" i="21"/>
  <c r="F42" i="28"/>
  <c r="N52" i="9"/>
  <c r="F73" i="28"/>
  <c r="E3" i="12"/>
  <c r="M52" i="9"/>
  <c r="L82" i="9"/>
  <c r="N73" i="9"/>
  <c r="J73" i="9"/>
  <c r="E91" i="9"/>
  <c r="K52" i="9"/>
  <c r="D83" i="29"/>
  <c r="D12" i="29"/>
  <c r="X7" i="21"/>
  <c r="H172" i="19"/>
  <c r="H56" i="1"/>
  <c r="D33" i="29"/>
  <c r="F33" i="29"/>
  <c r="H38" i="1"/>
  <c r="F14" i="29"/>
  <c r="F36" i="29"/>
  <c r="F15" i="29"/>
  <c r="H124" i="1"/>
  <c r="H123" i="1"/>
  <c r="AY179" i="36"/>
  <c r="BB179" i="36"/>
  <c r="J33" i="1"/>
  <c r="J32" i="1"/>
  <c r="AY147" i="36"/>
  <c r="AY35" i="36"/>
  <c r="AY213" i="36"/>
  <c r="BB213" i="36"/>
  <c r="AY194" i="36"/>
  <c r="AY98" i="36"/>
  <c r="BB98" i="36"/>
  <c r="AY82" i="36"/>
  <c r="BB82" i="36"/>
  <c r="AY177" i="36"/>
  <c r="AY45" i="36"/>
  <c r="AY13" i="36"/>
  <c r="BB13" i="36"/>
  <c r="AY188" i="36"/>
  <c r="AY68" i="36"/>
  <c r="BB68" i="36"/>
  <c r="AY156" i="36"/>
  <c r="BB156" i="36"/>
  <c r="AY103" i="36"/>
  <c r="BB103" i="36"/>
  <c r="AY189" i="36"/>
  <c r="BB189" i="36"/>
  <c r="AY93" i="36"/>
  <c r="BB93" i="36"/>
  <c r="AY54" i="36"/>
  <c r="BB54" i="36"/>
  <c r="AY89" i="36"/>
  <c r="AY21" i="36"/>
  <c r="BB21" i="36"/>
  <c r="AY48" i="36"/>
  <c r="BB48" i="36"/>
  <c r="AY180" i="36"/>
  <c r="AY207" i="36"/>
  <c r="AY143" i="36"/>
  <c r="AY95" i="36"/>
  <c r="BB95" i="36"/>
  <c r="AY63" i="36"/>
  <c r="AY173" i="36"/>
  <c r="AY77" i="36"/>
  <c r="AY49" i="36"/>
  <c r="BB49" i="36"/>
  <c r="AY174" i="36"/>
  <c r="BB174" i="36"/>
  <c r="AY158" i="36"/>
  <c r="BB158" i="36"/>
  <c r="AY126" i="36"/>
  <c r="BB126" i="36"/>
  <c r="AY94" i="36"/>
  <c r="BB94" i="36"/>
  <c r="AY46" i="36"/>
  <c r="BB46" i="36"/>
  <c r="AY26" i="36"/>
  <c r="BB26" i="36"/>
  <c r="AY105" i="36"/>
  <c r="BB105" i="36"/>
  <c r="AY73" i="36"/>
  <c r="BB73" i="36"/>
  <c r="AY37" i="36"/>
  <c r="BB37" i="36"/>
  <c r="AY152" i="36"/>
  <c r="AY12" i="36"/>
  <c r="BB12" i="36"/>
  <c r="AY140" i="36"/>
  <c r="BB140" i="36"/>
  <c r="AY80" i="36"/>
  <c r="BB80" i="36"/>
  <c r="AY20" i="36"/>
  <c r="AY84" i="36"/>
  <c r="AY100" i="36"/>
  <c r="BB100" i="36"/>
  <c r="AY215" i="36"/>
  <c r="AY119" i="36"/>
  <c r="BB119" i="36"/>
  <c r="AY161" i="36"/>
  <c r="BB161" i="36"/>
  <c r="AY214" i="36"/>
  <c r="BB214" i="36"/>
  <c r="AY118" i="36"/>
  <c r="BB118" i="36"/>
  <c r="AY18" i="36"/>
  <c r="AY203" i="36"/>
  <c r="AY171" i="36"/>
  <c r="AY123" i="36"/>
  <c r="BB123" i="36"/>
  <c r="AY107" i="36"/>
  <c r="AY91" i="36"/>
  <c r="AY27" i="36"/>
  <c r="BB27" i="36"/>
  <c r="AY11" i="36"/>
  <c r="AY165" i="36"/>
  <c r="AY101" i="36"/>
  <c r="BB101" i="36"/>
  <c r="AY41" i="36"/>
  <c r="AY9" i="36"/>
  <c r="AY218" i="36"/>
  <c r="BB218" i="36"/>
  <c r="AY170" i="36"/>
  <c r="AY154" i="36"/>
  <c r="BB154" i="36"/>
  <c r="AY138" i="36"/>
  <c r="BB138" i="36"/>
  <c r="AY106" i="36"/>
  <c r="AY90" i="36"/>
  <c r="BB90" i="36"/>
  <c r="AY74" i="36"/>
  <c r="BB74" i="36"/>
  <c r="AY22" i="36"/>
  <c r="BB22" i="36"/>
  <c r="AY221" i="36"/>
  <c r="BB221" i="36"/>
  <c r="AY193" i="36"/>
  <c r="BB193" i="36"/>
  <c r="AY125" i="36"/>
  <c r="AY65" i="36"/>
  <c r="BB65" i="36"/>
  <c r="AY29" i="36"/>
  <c r="BB29" i="36"/>
  <c r="AY40" i="36"/>
  <c r="AY104" i="36"/>
  <c r="BB104" i="36"/>
  <c r="AY28" i="36"/>
  <c r="BB28" i="36"/>
  <c r="AY36" i="36"/>
  <c r="BB36" i="36"/>
  <c r="AY199" i="36"/>
  <c r="BB199" i="36"/>
  <c r="AY167" i="36"/>
  <c r="AY87" i="36"/>
  <c r="BB87" i="36"/>
  <c r="AY39" i="36"/>
  <c r="BB39" i="36"/>
  <c r="AY129" i="36"/>
  <c r="BB129" i="36"/>
  <c r="AY198" i="36"/>
  <c r="AY102" i="36"/>
  <c r="BB102" i="36"/>
  <c r="AY70" i="36"/>
  <c r="AY181" i="36"/>
  <c r="BB181" i="36"/>
  <c r="AY121" i="36"/>
  <c r="BB121" i="36"/>
  <c r="AY57" i="36"/>
  <c r="AY120" i="36"/>
  <c r="BB120" i="36"/>
  <c r="AY44" i="36"/>
  <c r="BB44" i="36"/>
  <c r="AY172" i="36"/>
  <c r="BB172" i="36"/>
  <c r="AY52" i="36"/>
  <c r="BB52" i="36"/>
  <c r="BH8" i="36"/>
  <c r="AZ220" i="36"/>
  <c r="BA220" i="36"/>
  <c r="AZ216" i="36"/>
  <c r="BA216" i="36"/>
  <c r="AZ212" i="36"/>
  <c r="BA212" i="36"/>
  <c r="AZ166" i="36"/>
  <c r="BA166" i="36"/>
  <c r="AZ137" i="36"/>
  <c r="BA137" i="36"/>
  <c r="AZ74" i="36"/>
  <c r="BA74" i="36"/>
  <c r="AZ141" i="36"/>
  <c r="BA141" i="36"/>
  <c r="AZ110" i="36"/>
  <c r="BA110" i="36"/>
  <c r="AZ90" i="36"/>
  <c r="BA90" i="36"/>
  <c r="AZ54" i="36"/>
  <c r="BA54" i="36"/>
  <c r="AZ184" i="36"/>
  <c r="BA184" i="36"/>
  <c r="AZ155" i="36"/>
  <c r="BA155" i="36"/>
  <c r="AZ149" i="36"/>
  <c r="BA149" i="36"/>
  <c r="AZ50" i="36"/>
  <c r="BA50" i="36"/>
  <c r="AZ145" i="36"/>
  <c r="BA145" i="36"/>
  <c r="AZ87" i="36"/>
  <c r="BA87" i="36"/>
  <c r="AZ62" i="36"/>
  <c r="BA62" i="36"/>
  <c r="AZ29" i="36"/>
  <c r="BA29" i="36"/>
  <c r="AZ167" i="36"/>
  <c r="BA167" i="36"/>
  <c r="AZ17" i="36"/>
  <c r="BA17" i="36"/>
  <c r="AZ84" i="36"/>
  <c r="BA84" i="36"/>
  <c r="AZ148" i="36"/>
  <c r="BA148" i="36"/>
  <c r="AZ170" i="36"/>
  <c r="BA170" i="36"/>
  <c r="AZ14" i="36"/>
  <c r="BA14" i="36"/>
  <c r="AZ41" i="36"/>
  <c r="BA41" i="36"/>
  <c r="AZ173" i="36"/>
  <c r="BA173" i="36"/>
  <c r="AZ40" i="36"/>
  <c r="BA40" i="36"/>
  <c r="AZ53" i="36"/>
  <c r="BA53" i="36"/>
  <c r="AZ112" i="36"/>
  <c r="BA112" i="36"/>
  <c r="AZ22" i="36"/>
  <c r="BA22" i="36"/>
  <c r="AZ76" i="36"/>
  <c r="BA76" i="36"/>
  <c r="AZ136" i="36"/>
  <c r="BA136" i="36"/>
  <c r="AZ207" i="36"/>
  <c r="BA207" i="36"/>
  <c r="AZ26" i="36"/>
  <c r="BA26" i="36"/>
  <c r="AZ47" i="36"/>
  <c r="BA47" i="36"/>
  <c r="AZ107" i="36"/>
  <c r="BA107" i="36"/>
  <c r="AZ113" i="36"/>
  <c r="BA113" i="36"/>
  <c r="AZ100" i="36"/>
  <c r="BA100" i="36"/>
  <c r="AZ147" i="36"/>
  <c r="BA147" i="36"/>
  <c r="AZ156" i="36"/>
  <c r="BA156" i="36"/>
  <c r="AZ39" i="36"/>
  <c r="BA39" i="36"/>
  <c r="AZ172" i="36"/>
  <c r="BA172" i="36"/>
  <c r="AZ33" i="36"/>
  <c r="BA33" i="36"/>
  <c r="AZ129" i="36"/>
  <c r="BA129" i="36"/>
  <c r="AZ16" i="36"/>
  <c r="BA16" i="36"/>
  <c r="AZ46" i="36"/>
  <c r="BA46" i="36"/>
  <c r="AZ144" i="36"/>
  <c r="BA144" i="36"/>
  <c r="AZ117" i="36"/>
  <c r="BA117" i="36"/>
  <c r="AZ171" i="36"/>
  <c r="BA171" i="36"/>
  <c r="AZ208" i="36"/>
  <c r="BA208" i="36"/>
  <c r="AZ102" i="36"/>
  <c r="BA102" i="36"/>
  <c r="AZ195" i="36"/>
  <c r="BA195" i="36"/>
  <c r="AZ211" i="36"/>
  <c r="BA211" i="36"/>
  <c r="AZ51" i="36"/>
  <c r="BA51" i="36"/>
  <c r="AZ120" i="36"/>
  <c r="BA120" i="36"/>
  <c r="AZ101" i="36"/>
  <c r="BA101" i="36"/>
  <c r="AZ130" i="36"/>
  <c r="BA130" i="36"/>
  <c r="AZ154" i="36"/>
  <c r="BA154" i="36"/>
  <c r="AZ158" i="36"/>
  <c r="BA158" i="36"/>
  <c r="AZ11" i="36"/>
  <c r="BA11" i="36"/>
  <c r="AZ57" i="36"/>
  <c r="BA57" i="36"/>
  <c r="AZ103" i="36"/>
  <c r="BA103" i="36"/>
  <c r="AZ191" i="36"/>
  <c r="BA191" i="36"/>
  <c r="AZ203" i="36"/>
  <c r="BA203" i="36"/>
  <c r="AZ35" i="36"/>
  <c r="BA35" i="36"/>
  <c r="AZ123" i="36"/>
  <c r="BA123" i="36"/>
  <c r="AZ160" i="36"/>
  <c r="BA160" i="36"/>
  <c r="AZ19" i="36"/>
  <c r="BA19" i="36"/>
  <c r="AZ37" i="36"/>
  <c r="BA37" i="36"/>
  <c r="AZ66" i="36"/>
  <c r="BA66" i="36"/>
  <c r="AZ162" i="36"/>
  <c r="BA162" i="36"/>
  <c r="AZ185" i="36"/>
  <c r="BA185" i="36"/>
  <c r="AZ219" i="36"/>
  <c r="BA219" i="36"/>
  <c r="AZ52" i="36"/>
  <c r="BA52" i="36"/>
  <c r="AZ34" i="36"/>
  <c r="BA34" i="36"/>
  <c r="AZ71" i="36"/>
  <c r="BA71" i="36"/>
  <c r="AZ20" i="36"/>
  <c r="BA20" i="36"/>
  <c r="AZ44" i="36"/>
  <c r="BA44" i="36"/>
  <c r="AZ21" i="36"/>
  <c r="BA21" i="36"/>
  <c r="AZ38" i="36"/>
  <c r="BA38" i="36"/>
  <c r="AZ56" i="36"/>
  <c r="BA56" i="36"/>
  <c r="AZ77" i="36"/>
  <c r="BA77" i="36"/>
  <c r="AZ124" i="36"/>
  <c r="BA124" i="36"/>
  <c r="AZ98" i="36"/>
  <c r="BA98" i="36"/>
  <c r="AZ69" i="36"/>
  <c r="BA69" i="36"/>
  <c r="AZ59" i="36"/>
  <c r="BA59" i="36"/>
  <c r="AZ73" i="36"/>
  <c r="BA73" i="36"/>
  <c r="AZ105" i="36"/>
  <c r="BA105" i="36"/>
  <c r="AZ49" i="36"/>
  <c r="BA49" i="36"/>
  <c r="AZ121" i="36"/>
  <c r="BA121" i="36"/>
  <c r="AZ18" i="36"/>
  <c r="BA18" i="36"/>
  <c r="AZ75" i="36"/>
  <c r="BA75" i="36"/>
  <c r="AZ70" i="36"/>
  <c r="BA70" i="36"/>
  <c r="AZ116" i="36"/>
  <c r="BA116" i="36"/>
  <c r="AZ143" i="36"/>
  <c r="BA143" i="36"/>
  <c r="AZ104" i="36"/>
  <c r="BA104" i="36"/>
  <c r="AZ126" i="36"/>
  <c r="BA126" i="36"/>
  <c r="AZ109" i="36"/>
  <c r="BA109" i="36"/>
  <c r="AZ134" i="36"/>
  <c r="BA134" i="36"/>
  <c r="AZ159" i="36"/>
  <c r="BA159" i="36"/>
  <c r="AZ189" i="36"/>
  <c r="BA189" i="36"/>
  <c r="AZ174" i="36"/>
  <c r="BA174" i="36"/>
  <c r="AZ188" i="36"/>
  <c r="BA188" i="36"/>
  <c r="AZ221" i="36"/>
  <c r="BA221" i="36"/>
  <c r="AZ206" i="36"/>
  <c r="BA206" i="36"/>
  <c r="AZ210" i="36"/>
  <c r="BA210" i="36"/>
  <c r="AZ218" i="36"/>
  <c r="BA218" i="36"/>
  <c r="AZ127" i="36"/>
  <c r="BA127" i="36"/>
  <c r="AZ65" i="36"/>
  <c r="BA65" i="36"/>
  <c r="AZ153" i="36"/>
  <c r="BA153" i="36"/>
  <c r="AZ31" i="36"/>
  <c r="BA31" i="36"/>
  <c r="AZ28" i="36"/>
  <c r="BA28" i="36"/>
  <c r="AZ201" i="36"/>
  <c r="BA201" i="36"/>
  <c r="AZ175" i="36"/>
  <c r="BA175" i="36"/>
  <c r="AZ192" i="36"/>
  <c r="BA192" i="36"/>
  <c r="AZ8" i="36"/>
  <c r="BA8" i="36"/>
  <c r="AZ94" i="36"/>
  <c r="BA94" i="36"/>
  <c r="AZ163" i="36"/>
  <c r="BA163" i="36"/>
  <c r="AZ45" i="36"/>
  <c r="BA45" i="36"/>
  <c r="AZ86" i="36"/>
  <c r="BA86" i="36"/>
  <c r="AZ68" i="36"/>
  <c r="BA68" i="36"/>
  <c r="AZ72" i="36"/>
  <c r="BA72" i="36"/>
  <c r="AZ92" i="36"/>
  <c r="BA92" i="36"/>
  <c r="AZ118" i="36"/>
  <c r="BA118" i="36"/>
  <c r="AZ142" i="36"/>
  <c r="BA142" i="36"/>
  <c r="AZ152" i="36"/>
  <c r="BA152" i="36"/>
  <c r="AZ178" i="36"/>
  <c r="BA178" i="36"/>
  <c r="AZ193" i="36"/>
  <c r="BA193" i="36"/>
  <c r="AZ164" i="36"/>
  <c r="BA164" i="36"/>
  <c r="AZ196" i="36"/>
  <c r="BA196" i="36"/>
  <c r="AZ209" i="36"/>
  <c r="BA209" i="36"/>
  <c r="AZ217" i="36"/>
  <c r="BA217" i="36"/>
  <c r="AZ23" i="36"/>
  <c r="BA23" i="36"/>
  <c r="AZ131" i="36"/>
  <c r="BA131" i="36"/>
  <c r="AZ80" i="36"/>
  <c r="BA80" i="36"/>
  <c r="AZ181" i="36"/>
  <c r="BA181" i="36"/>
  <c r="AZ199" i="36"/>
  <c r="BA199" i="36"/>
  <c r="AZ81" i="36"/>
  <c r="BA81" i="36"/>
  <c r="AZ198" i="36"/>
  <c r="BA198" i="36"/>
  <c r="AZ67" i="36"/>
  <c r="BA67" i="36"/>
  <c r="AZ55" i="36"/>
  <c r="BA55" i="36"/>
  <c r="AZ91" i="36"/>
  <c r="BA91" i="36"/>
  <c r="AZ111" i="36"/>
  <c r="BA111" i="36"/>
  <c r="AZ135" i="36"/>
  <c r="BA135" i="36"/>
  <c r="AZ122" i="36"/>
  <c r="BA122" i="36"/>
  <c r="AZ108" i="36"/>
  <c r="BA108" i="36"/>
  <c r="AZ119" i="36"/>
  <c r="BA119" i="36"/>
  <c r="AZ138" i="36"/>
  <c r="BA138" i="36"/>
  <c r="AZ177" i="36"/>
  <c r="BA177" i="36"/>
  <c r="AZ197" i="36"/>
  <c r="BA197" i="36"/>
  <c r="AZ183" i="36"/>
  <c r="BA183" i="36"/>
  <c r="AZ157" i="36"/>
  <c r="BA157" i="36"/>
  <c r="AZ200" i="36"/>
  <c r="BA200" i="36"/>
  <c r="AZ179" i="36"/>
  <c r="BA179" i="36"/>
  <c r="AU11" i="36"/>
  <c r="AT138" i="36"/>
  <c r="AU35" i="36"/>
  <c r="AT107" i="36"/>
  <c r="AU56" i="36"/>
  <c r="AT126" i="36"/>
  <c r="AU23" i="36"/>
  <c r="AU21" i="36"/>
  <c r="AU10" i="36"/>
  <c r="AU63" i="36"/>
  <c r="AT90" i="36"/>
  <c r="AT130" i="36"/>
  <c r="AT162" i="36"/>
  <c r="AT194" i="36"/>
  <c r="AU15" i="36"/>
  <c r="AU48" i="36"/>
  <c r="AU76" i="36"/>
  <c r="AT99" i="36"/>
  <c r="AT164" i="36"/>
  <c r="AT196" i="36"/>
  <c r="AU19" i="36"/>
  <c r="AU67" i="36"/>
  <c r="AU44" i="36"/>
  <c r="AT109" i="36"/>
  <c r="AT182" i="36"/>
  <c r="AT214" i="36"/>
  <c r="AU59" i="36"/>
  <c r="AU32" i="36"/>
  <c r="AU13" i="36"/>
  <c r="AU41" i="36"/>
  <c r="AU69" i="36"/>
  <c r="AT118" i="36"/>
  <c r="AU22" i="36"/>
  <c r="AU38" i="36"/>
  <c r="AU54" i="36"/>
  <c r="AU70" i="36"/>
  <c r="AU88" i="36"/>
  <c r="AT120" i="36"/>
  <c r="AT152" i="36"/>
  <c r="AT184" i="36"/>
  <c r="AT216" i="36"/>
  <c r="AT12" i="36"/>
  <c r="AT20" i="36"/>
  <c r="AT28" i="36"/>
  <c r="AT36" i="36"/>
  <c r="AT44" i="36"/>
  <c r="AT52" i="36"/>
  <c r="AT68" i="36"/>
  <c r="AT76" i="36"/>
  <c r="AU85" i="36"/>
  <c r="AU98" i="36"/>
  <c r="AU131" i="36"/>
  <c r="AU147" i="36"/>
  <c r="AU163" i="36"/>
  <c r="AU179" i="36"/>
  <c r="AU195" i="36"/>
  <c r="AU211" i="36"/>
  <c r="AT9" i="36"/>
  <c r="AT17" i="36"/>
  <c r="AT33" i="36"/>
  <c r="AT41" i="36"/>
  <c r="AT49" i="36"/>
  <c r="AT57" i="36"/>
  <c r="AT65" i="36"/>
  <c r="AT73" i="36"/>
  <c r="AU81" i="36"/>
  <c r="AU93" i="36"/>
  <c r="AU108" i="36"/>
  <c r="AU125" i="36"/>
  <c r="AU141" i="36"/>
  <c r="AU157" i="36"/>
  <c r="AU173" i="36"/>
  <c r="AU189" i="36"/>
  <c r="AU221" i="36"/>
  <c r="AT87" i="36"/>
  <c r="AT95" i="36"/>
  <c r="AT102" i="36"/>
  <c r="AT110" i="36"/>
  <c r="AT119" i="36"/>
  <c r="AT127" i="36"/>
  <c r="AT135" i="36"/>
  <c r="AT143" i="36"/>
  <c r="AT159" i="36"/>
  <c r="AT167" i="36"/>
  <c r="AT175" i="36"/>
  <c r="AT183" i="36"/>
  <c r="AT191" i="36"/>
  <c r="AT199" i="36"/>
  <c r="AT207" i="36"/>
  <c r="AT215" i="36"/>
  <c r="AU105" i="36"/>
  <c r="AU113" i="36"/>
  <c r="AU122" i="36"/>
  <c r="AU130" i="36"/>
  <c r="AU138" i="36"/>
  <c r="AU146" i="36"/>
  <c r="AU154" i="36"/>
  <c r="AU162" i="36"/>
  <c r="AU170" i="36"/>
  <c r="AU178" i="36"/>
  <c r="AU194" i="36"/>
  <c r="AU202" i="36"/>
  <c r="AU210" i="36"/>
  <c r="AU218" i="36"/>
  <c r="AU75" i="36"/>
  <c r="AT170" i="36"/>
  <c r="AT140" i="36"/>
  <c r="AU31" i="36"/>
  <c r="AU33" i="36"/>
  <c r="AT158" i="36"/>
  <c r="AU71" i="36"/>
  <c r="AU49" i="36"/>
  <c r="AU26" i="36"/>
  <c r="AU58" i="36"/>
  <c r="AT160" i="36"/>
  <c r="AT14" i="36"/>
  <c r="AT30" i="36"/>
  <c r="AT54" i="36"/>
  <c r="AT70" i="36"/>
  <c r="AU102" i="36"/>
  <c r="AU135" i="36"/>
  <c r="AU167" i="36"/>
  <c r="AU199" i="36"/>
  <c r="AT19" i="36"/>
  <c r="AT35" i="36"/>
  <c r="AT51" i="36"/>
  <c r="AT67" i="36"/>
  <c r="AU129" i="36"/>
  <c r="AU161" i="36"/>
  <c r="AU193" i="36"/>
  <c r="AT81" i="36"/>
  <c r="AT89" i="36"/>
  <c r="AT104" i="36"/>
  <c r="AT129" i="36"/>
  <c r="AT145" i="36"/>
  <c r="AT161" i="36"/>
  <c r="AT177" i="36"/>
  <c r="AT193" i="36"/>
  <c r="AT209" i="36"/>
  <c r="AU99" i="36"/>
  <c r="AU116" i="36"/>
  <c r="AU140" i="36"/>
  <c r="AU148" i="36"/>
  <c r="AU156" i="36"/>
  <c r="AU164" i="36"/>
  <c r="AU172" i="36"/>
  <c r="AU180" i="36"/>
  <c r="AU188" i="36"/>
  <c r="AU212" i="36"/>
  <c r="AU220" i="36"/>
  <c r="AT105" i="36"/>
  <c r="AT202" i="36"/>
  <c r="AU80" i="36"/>
  <c r="AT172" i="36"/>
  <c r="AU16" i="36"/>
  <c r="AU73" i="36"/>
  <c r="AT190" i="36"/>
  <c r="AU40" i="36"/>
  <c r="AU77" i="36"/>
  <c r="AU74" i="36"/>
  <c r="AT128" i="36"/>
  <c r="AT192" i="36"/>
  <c r="AT22" i="36"/>
  <c r="AT38" i="36"/>
  <c r="AT46" i="36"/>
  <c r="AT62" i="36"/>
  <c r="AT88" i="36"/>
  <c r="AU119" i="36"/>
  <c r="AU183" i="36"/>
  <c r="AU215" i="36"/>
  <c r="AT11" i="36"/>
  <c r="AT27" i="36"/>
  <c r="AT59" i="36"/>
  <c r="AT75" i="36"/>
  <c r="AT84" i="36"/>
  <c r="AU112" i="36"/>
  <c r="AU145" i="36"/>
  <c r="AU177" i="36"/>
  <c r="AU209" i="36"/>
  <c r="AT112" i="36"/>
  <c r="AT121" i="36"/>
  <c r="AT137" i="36"/>
  <c r="AT153" i="36"/>
  <c r="AT185" i="36"/>
  <c r="AT201" i="36"/>
  <c r="AT217" i="36"/>
  <c r="AU90" i="36"/>
  <c r="AU107" i="36"/>
  <c r="AU124" i="36"/>
  <c r="AU196" i="36"/>
  <c r="AU27" i="36"/>
  <c r="AT113" i="36"/>
  <c r="AT146" i="36"/>
  <c r="AT178" i="36"/>
  <c r="AT210" i="36"/>
  <c r="AU8" i="36"/>
  <c r="AU68" i="36"/>
  <c r="AT86" i="36"/>
  <c r="AT116" i="36"/>
  <c r="AT148" i="36"/>
  <c r="AT180" i="36"/>
  <c r="AT212" i="36"/>
  <c r="AU9" i="36"/>
  <c r="AU45" i="36"/>
  <c r="AT82" i="36"/>
  <c r="AT134" i="36"/>
  <c r="AT166" i="36"/>
  <c r="AT198" i="36"/>
  <c r="AU39" i="36"/>
  <c r="AU12" i="36"/>
  <c r="AU52" i="36"/>
  <c r="AU29" i="36"/>
  <c r="AU57" i="36"/>
  <c r="AU87" i="36"/>
  <c r="AU14" i="36"/>
  <c r="AU30" i="36"/>
  <c r="AU46" i="36"/>
  <c r="AU62" i="36"/>
  <c r="AT103" i="36"/>
  <c r="AT136" i="36"/>
  <c r="AT200" i="36"/>
  <c r="AT8" i="36"/>
  <c r="AT16" i="36"/>
  <c r="AT32" i="36"/>
  <c r="AT40" i="36"/>
  <c r="AT48" i="36"/>
  <c r="AT56" i="36"/>
  <c r="AT64" i="36"/>
  <c r="AT72" i="36"/>
  <c r="AT80" i="36"/>
  <c r="AU91" i="36"/>
  <c r="AU106" i="36"/>
  <c r="AU123" i="36"/>
  <c r="AU139" i="36"/>
  <c r="AU155" i="36"/>
  <c r="AU171" i="36"/>
  <c r="AU203" i="36"/>
  <c r="AU219" i="36"/>
  <c r="AT13" i="36"/>
  <c r="AT21" i="36"/>
  <c r="AT29" i="36"/>
  <c r="AT37" i="36"/>
  <c r="AT45" i="36"/>
  <c r="AT53" i="36"/>
  <c r="AT69" i="36"/>
  <c r="AT77" i="36"/>
  <c r="AU86" i="36"/>
  <c r="AU100" i="36"/>
  <c r="AU117" i="36"/>
  <c r="AU149" i="36"/>
  <c r="AU165" i="36"/>
  <c r="AU181" i="36"/>
  <c r="AU197" i="36"/>
  <c r="AU213" i="36"/>
  <c r="AT83" i="36"/>
  <c r="AT91" i="36"/>
  <c r="AT98" i="36"/>
  <c r="AT106" i="36"/>
  <c r="AT123" i="36"/>
  <c r="AT131" i="36"/>
  <c r="AT139" i="36"/>
  <c r="AT147" i="36"/>
  <c r="AT155" i="36"/>
  <c r="AT163" i="36"/>
  <c r="AT171" i="36"/>
  <c r="AT179" i="36"/>
  <c r="AT195" i="36"/>
  <c r="AT203" i="36"/>
  <c r="AT211" i="36"/>
  <c r="AT219" i="36"/>
  <c r="AU92" i="36"/>
  <c r="AU101" i="36"/>
  <c r="AU109" i="36"/>
  <c r="AU118" i="36"/>
  <c r="AU126" i="36"/>
  <c r="AU134" i="36"/>
  <c r="AU142" i="36"/>
  <c r="AU158" i="36"/>
  <c r="AU166" i="36"/>
  <c r="AU174" i="36"/>
  <c r="AU182" i="36"/>
  <c r="AU190" i="36"/>
  <c r="AU198" i="36"/>
  <c r="AU206" i="36"/>
  <c r="AU214" i="36"/>
  <c r="AU51" i="36"/>
  <c r="AU84" i="36"/>
  <c r="AT122" i="36"/>
  <c r="AT154" i="36"/>
  <c r="AT218" i="36"/>
  <c r="AU28" i="36"/>
  <c r="AU72" i="36"/>
  <c r="AT92" i="36"/>
  <c r="AT124" i="36"/>
  <c r="AT156" i="36"/>
  <c r="AT188" i="36"/>
  <c r="AT220" i="36"/>
  <c r="AU55" i="36"/>
  <c r="AU36" i="36"/>
  <c r="AU17" i="36"/>
  <c r="AU53" i="36"/>
  <c r="AT101" i="36"/>
  <c r="AT142" i="36"/>
  <c r="AT174" i="36"/>
  <c r="AT206" i="36"/>
  <c r="AU47" i="36"/>
  <c r="AU20" i="36"/>
  <c r="AU64" i="36"/>
  <c r="AU37" i="36"/>
  <c r="AU65" i="36"/>
  <c r="AT94" i="36"/>
  <c r="AU18" i="36"/>
  <c r="AU34" i="36"/>
  <c r="AU50" i="36"/>
  <c r="AU66" i="36"/>
  <c r="AU83" i="36"/>
  <c r="AT111" i="36"/>
  <c r="AT144" i="36"/>
  <c r="AT176" i="36"/>
  <c r="AT208" i="36"/>
  <c r="AT10" i="36"/>
  <c r="AT18" i="36"/>
  <c r="AT26" i="36"/>
  <c r="AT34" i="36"/>
  <c r="AT50" i="36"/>
  <c r="AT58" i="36"/>
  <c r="AT66" i="36"/>
  <c r="AT74" i="36"/>
  <c r="AU82" i="36"/>
  <c r="AU95" i="36"/>
  <c r="AU110" i="36"/>
  <c r="AU127" i="36"/>
  <c r="AU143" i="36"/>
  <c r="AU159" i="36"/>
  <c r="AU175" i="36"/>
  <c r="AU191" i="36"/>
  <c r="AU207" i="36"/>
  <c r="AT15" i="36"/>
  <c r="AT23" i="36"/>
  <c r="AT31" i="36"/>
  <c r="AT39" i="36"/>
  <c r="AT47" i="36"/>
  <c r="AT55" i="36"/>
  <c r="AT63" i="36"/>
  <c r="AT71" i="36"/>
  <c r="AU89" i="36"/>
  <c r="AU104" i="36"/>
  <c r="AU121" i="36"/>
  <c r="AU137" i="36"/>
  <c r="AU153" i="36"/>
  <c r="AU185" i="36"/>
  <c r="AU201" i="36"/>
  <c r="AU217" i="36"/>
  <c r="AT85" i="36"/>
  <c r="AT93" i="36"/>
  <c r="AT100" i="36"/>
  <c r="AT108" i="36"/>
  <c r="AT117" i="36"/>
  <c r="AT125" i="36"/>
  <c r="AT141" i="36"/>
  <c r="AT149" i="36"/>
  <c r="AT157" i="36"/>
  <c r="AT165" i="36"/>
  <c r="AT173" i="36"/>
  <c r="AT181" i="36"/>
  <c r="AT189" i="36"/>
  <c r="AT197" i="36"/>
  <c r="AT213" i="36"/>
  <c r="AT221" i="36"/>
  <c r="AU94" i="36"/>
  <c r="AU103" i="36"/>
  <c r="AU111" i="36"/>
  <c r="AU120" i="36"/>
  <c r="AU128" i="36"/>
  <c r="AU136" i="36"/>
  <c r="AU144" i="36"/>
  <c r="AU152" i="36"/>
  <c r="AU160" i="36"/>
  <c r="AU176" i="36"/>
  <c r="AU184" i="36"/>
  <c r="AU192" i="36"/>
  <c r="AU200" i="36"/>
  <c r="AU208" i="36"/>
  <c r="AU216" i="36"/>
  <c r="B10" i="12"/>
  <c r="C23" i="21"/>
  <c r="B5" i="12"/>
  <c r="C13" i="21"/>
  <c r="C7" i="12"/>
  <c r="E17" i="21"/>
  <c r="B11" i="12"/>
  <c r="C25" i="21"/>
  <c r="C11" i="12"/>
  <c r="E25" i="21"/>
  <c r="C5" i="12"/>
  <c r="E13" i="21"/>
  <c r="C10" i="12"/>
  <c r="E23" i="21"/>
  <c r="C6" i="12"/>
  <c r="E15" i="21"/>
  <c r="B9" i="12"/>
  <c r="C21" i="21"/>
  <c r="C8" i="12"/>
  <c r="E19" i="21"/>
  <c r="B7" i="12"/>
  <c r="C17" i="21"/>
  <c r="B8" i="12"/>
  <c r="C19" i="21"/>
  <c r="B6" i="12"/>
  <c r="C15" i="21"/>
  <c r="C9" i="12"/>
  <c r="E21" i="21"/>
  <c r="F91" i="9"/>
  <c r="G91" i="9"/>
  <c r="J35" i="1"/>
  <c r="J36" i="1"/>
  <c r="J31" i="1"/>
  <c r="H65" i="19"/>
  <c r="F13" i="29"/>
  <c r="D13" i="29"/>
  <c r="D34" i="29"/>
  <c r="F34" i="29"/>
  <c r="D60" i="29"/>
  <c r="F60" i="29"/>
  <c r="F12" i="29"/>
  <c r="AY137" i="36"/>
  <c r="BB137" i="36"/>
  <c r="AY59" i="36"/>
  <c r="BB59" i="36"/>
  <c r="AY155" i="36"/>
  <c r="BB155" i="36"/>
  <c r="BC155" i="36"/>
  <c r="BD155" i="36"/>
  <c r="AY86" i="36"/>
  <c r="BB86" i="36"/>
  <c r="BC86" i="36"/>
  <c r="BD86" i="36"/>
  <c r="AY23" i="36"/>
  <c r="AY148" i="36"/>
  <c r="BB148" i="36"/>
  <c r="AY16" i="36"/>
  <c r="BB16" i="36"/>
  <c r="AY88" i="36"/>
  <c r="BB88" i="36"/>
  <c r="AY10" i="36"/>
  <c r="BB10" i="36"/>
  <c r="AY110" i="36"/>
  <c r="BB110" i="36"/>
  <c r="AY190" i="36"/>
  <c r="BB190" i="36"/>
  <c r="AZ190" i="36"/>
  <c r="BA190" i="36"/>
  <c r="BC190" i="36"/>
  <c r="BD190" i="36"/>
  <c r="AY15" i="36"/>
  <c r="BB15" i="36"/>
  <c r="AY159" i="36"/>
  <c r="BB159" i="36"/>
  <c r="AY108" i="36"/>
  <c r="AY134" i="36"/>
  <c r="BB134" i="36"/>
  <c r="AY183" i="36"/>
  <c r="BB183" i="36"/>
  <c r="AY124" i="36"/>
  <c r="BB124" i="36"/>
  <c r="AY14" i="36"/>
  <c r="BB14" i="36"/>
  <c r="AY212" i="36"/>
  <c r="BB212" i="36"/>
  <c r="BC212" i="36"/>
  <c r="BD212" i="36"/>
  <c r="AY195" i="36"/>
  <c r="AY99" i="36"/>
  <c r="BB99" i="36"/>
  <c r="AY153" i="36"/>
  <c r="AY162" i="36"/>
  <c r="BB162" i="36"/>
  <c r="AY50" i="36"/>
  <c r="BB50" i="36"/>
  <c r="AY141" i="36"/>
  <c r="BB141" i="36"/>
  <c r="AY8" i="36"/>
  <c r="BB8" i="36"/>
  <c r="AY128" i="36"/>
  <c r="BB128" i="36"/>
  <c r="AY160" i="36"/>
  <c r="BB160" i="36"/>
  <c r="AY55" i="36"/>
  <c r="BB55" i="36"/>
  <c r="AY216" i="36"/>
  <c r="BB216" i="36"/>
  <c r="AY217" i="36"/>
  <c r="BB217" i="36"/>
  <c r="AY56" i="36"/>
  <c r="BB56" i="36"/>
  <c r="AY176" i="36"/>
  <c r="AY191" i="36"/>
  <c r="BB191" i="36"/>
  <c r="AY127" i="36"/>
  <c r="BB127" i="36"/>
  <c r="BC127" i="36"/>
  <c r="BD127" i="36"/>
  <c r="AY47" i="36"/>
  <c r="BB47" i="36"/>
  <c r="AY145" i="36"/>
  <c r="BB145" i="36"/>
  <c r="AY17" i="36"/>
  <c r="BB17" i="36"/>
  <c r="AY211" i="36"/>
  <c r="AY67" i="36"/>
  <c r="BB67" i="36"/>
  <c r="AY85" i="36"/>
  <c r="BB85" i="36"/>
  <c r="AY130" i="36"/>
  <c r="BB130" i="36"/>
  <c r="AY30" i="36"/>
  <c r="BB30" i="36"/>
  <c r="AY113" i="36"/>
  <c r="BB113" i="36"/>
  <c r="AY136" i="36"/>
  <c r="AY192" i="36"/>
  <c r="BB192" i="36"/>
  <c r="BC192" i="36"/>
  <c r="BD192" i="36"/>
  <c r="AY164" i="36"/>
  <c r="BB164" i="36"/>
  <c r="BC164" i="36"/>
  <c r="BD164" i="36"/>
  <c r="AY38" i="36"/>
  <c r="BB38" i="36"/>
  <c r="AY182" i="36"/>
  <c r="BB182" i="36"/>
  <c r="AY149" i="36"/>
  <c r="BB149" i="36"/>
  <c r="AY184" i="36"/>
  <c r="BB184" i="36"/>
  <c r="AY116" i="36"/>
  <c r="BB116" i="36"/>
  <c r="AY175" i="36"/>
  <c r="AY111" i="36"/>
  <c r="BB111" i="36"/>
  <c r="AY31" i="36"/>
  <c r="BB31" i="36"/>
  <c r="AY109" i="36"/>
  <c r="BB109" i="36"/>
  <c r="AY206" i="36"/>
  <c r="AY142" i="36"/>
  <c r="BB142" i="36"/>
  <c r="AY62" i="36"/>
  <c r="BB62" i="36"/>
  <c r="BC62" i="36"/>
  <c r="BD62" i="36"/>
  <c r="AY201" i="36"/>
  <c r="BB201" i="36"/>
  <c r="AY220" i="36"/>
  <c r="AY76" i="36"/>
  <c r="BB76" i="36"/>
  <c r="AY144" i="36"/>
  <c r="BB144" i="36"/>
  <c r="AY32" i="36"/>
  <c r="AY71" i="36"/>
  <c r="BB71" i="36"/>
  <c r="AY166" i="36"/>
  <c r="BB166" i="36"/>
  <c r="BC166" i="36"/>
  <c r="BD166" i="36"/>
  <c r="AY219" i="36"/>
  <c r="BB219" i="36"/>
  <c r="BC219" i="36"/>
  <c r="BD219" i="36"/>
  <c r="AY139" i="36"/>
  <c r="BB139" i="36"/>
  <c r="AY75" i="36"/>
  <c r="BB75" i="36"/>
  <c r="AY197" i="36"/>
  <c r="BB197" i="36"/>
  <c r="AY69" i="36"/>
  <c r="BB69" i="36"/>
  <c r="AY202" i="36"/>
  <c r="AY122" i="36"/>
  <c r="BB122" i="36"/>
  <c r="AY58" i="36"/>
  <c r="BB58" i="36"/>
  <c r="AY157" i="36"/>
  <c r="BB157" i="36"/>
  <c r="AY208" i="36"/>
  <c r="BB208" i="36"/>
  <c r="AY92" i="36"/>
  <c r="BB92" i="36"/>
  <c r="AY135" i="36"/>
  <c r="BB135" i="36"/>
  <c r="AY33" i="36"/>
  <c r="BB33" i="36"/>
  <c r="BC33" i="36"/>
  <c r="BD33" i="36"/>
  <c r="AY34" i="36"/>
  <c r="BB34" i="36"/>
  <c r="AY200" i="36"/>
  <c r="BB200" i="36"/>
  <c r="AY112" i="36"/>
  <c r="BB112" i="36"/>
  <c r="AZ182" i="36"/>
  <c r="BA182" i="36"/>
  <c r="BC182" i="36"/>
  <c r="BD182" i="36"/>
  <c r="AZ93" i="36"/>
  <c r="BA93" i="36"/>
  <c r="AZ106" i="36"/>
  <c r="BA106" i="36"/>
  <c r="AZ176" i="36"/>
  <c r="BA176" i="36"/>
  <c r="AZ13" i="36"/>
  <c r="BA13" i="36"/>
  <c r="BC13" i="36"/>
  <c r="BD13" i="36"/>
  <c r="AZ10" i="36"/>
  <c r="BA10" i="36"/>
  <c r="AZ32" i="36"/>
  <c r="BA32" i="36"/>
  <c r="AZ194" i="36"/>
  <c r="BA194" i="36"/>
  <c r="AZ140" i="36"/>
  <c r="BA140" i="36"/>
  <c r="AZ165" i="36"/>
  <c r="BA165" i="36"/>
  <c r="AZ63" i="36"/>
  <c r="BA63" i="36"/>
  <c r="AZ139" i="36"/>
  <c r="BA139" i="36"/>
  <c r="BC139" i="36"/>
  <c r="BD139" i="36"/>
  <c r="AZ125" i="36"/>
  <c r="BA125" i="36"/>
  <c r="AZ64" i="36"/>
  <c r="BA64" i="36"/>
  <c r="AZ180" i="36"/>
  <c r="BA180" i="36"/>
  <c r="AZ58" i="36"/>
  <c r="BA58" i="36"/>
  <c r="BC58" i="36"/>
  <c r="BD58" i="36"/>
  <c r="AZ48" i="36"/>
  <c r="BA48" i="36"/>
  <c r="AZ82" i="36"/>
  <c r="BA82" i="36"/>
  <c r="AZ27" i="36"/>
  <c r="BA27" i="36"/>
  <c r="AZ83" i="36"/>
  <c r="BA83" i="36"/>
  <c r="AZ9" i="36"/>
  <c r="BA9" i="36"/>
  <c r="AZ202" i="36"/>
  <c r="BA202" i="36"/>
  <c r="AZ85" i="36"/>
  <c r="BA85" i="36"/>
  <c r="BC85" i="36"/>
  <c r="BD85" i="36"/>
  <c r="AZ36" i="36"/>
  <c r="BA36" i="36"/>
  <c r="BC36" i="36"/>
  <c r="BD36" i="36"/>
  <c r="AZ12" i="36"/>
  <c r="BA12" i="36"/>
  <c r="AZ30" i="36"/>
  <c r="BA30" i="36"/>
  <c r="AZ88" i="36"/>
  <c r="BA88" i="36"/>
  <c r="AZ89" i="36"/>
  <c r="BA89" i="36"/>
  <c r="AZ128" i="36"/>
  <c r="BA128" i="36"/>
  <c r="AZ215" i="36"/>
  <c r="BA215" i="36"/>
  <c r="AZ99" i="36"/>
  <c r="BA99" i="36"/>
  <c r="BC99" i="36"/>
  <c r="BD99" i="36"/>
  <c r="AZ95" i="36"/>
  <c r="BA95" i="36"/>
  <c r="BC95" i="36"/>
  <c r="BD95" i="36"/>
  <c r="AZ161" i="36"/>
  <c r="BA161" i="36"/>
  <c r="AZ213" i="36"/>
  <c r="BA213" i="36"/>
  <c r="AZ214" i="36"/>
  <c r="BA214" i="36"/>
  <c r="BC214" i="36"/>
  <c r="BD214" i="36"/>
  <c r="AZ15" i="36"/>
  <c r="BA15" i="36"/>
  <c r="AZ146" i="36"/>
  <c r="BA146" i="36"/>
  <c r="H125" i="1"/>
  <c r="D67" i="29"/>
  <c r="AY196" i="36"/>
  <c r="BB196" i="36"/>
  <c r="BC196" i="36"/>
  <c r="BD196" i="36"/>
  <c r="AY64" i="36"/>
  <c r="AY72" i="36"/>
  <c r="BB72" i="36"/>
  <c r="AY81" i="36"/>
  <c r="BB81" i="36"/>
  <c r="AY209" i="36"/>
  <c r="BB209" i="36"/>
  <c r="AY66" i="36"/>
  <c r="BB66" i="36"/>
  <c r="AY146" i="36"/>
  <c r="BB146" i="36"/>
  <c r="BC146" i="36"/>
  <c r="BD146" i="36"/>
  <c r="AY210" i="36"/>
  <c r="AY117" i="36"/>
  <c r="BB117" i="36"/>
  <c r="AY19" i="36"/>
  <c r="BB19" i="36"/>
  <c r="AY83" i="36"/>
  <c r="BB83" i="36"/>
  <c r="AY163" i="36"/>
  <c r="BB163" i="36"/>
  <c r="AY178" i="36"/>
  <c r="BB178" i="36"/>
  <c r="AY53" i="36"/>
  <c r="AY185" i="36"/>
  <c r="BB185" i="36"/>
  <c r="BC185" i="36"/>
  <c r="BD185" i="36"/>
  <c r="AY51" i="36"/>
  <c r="AY131" i="36"/>
  <c r="BB131" i="36"/>
  <c r="BC131" i="36"/>
  <c r="BD131" i="36"/>
  <c r="BC208" i="36"/>
  <c r="BD208" i="36"/>
  <c r="BC50" i="36"/>
  <c r="BD50" i="36"/>
  <c r="BC148" i="36"/>
  <c r="BD148" i="36"/>
  <c r="BC156" i="36"/>
  <c r="BD156" i="36"/>
  <c r="BC38" i="36"/>
  <c r="BD38" i="36"/>
  <c r="BC158" i="36"/>
  <c r="BD158" i="36"/>
  <c r="BC74" i="36"/>
  <c r="BD74" i="36"/>
  <c r="BC145" i="36"/>
  <c r="BD145" i="36"/>
  <c r="BC216" i="36"/>
  <c r="BD216" i="36"/>
  <c r="BC101" i="36"/>
  <c r="BD101" i="36"/>
  <c r="BC160" i="36"/>
  <c r="BD160" i="36"/>
  <c r="BC189" i="36"/>
  <c r="BD189" i="36"/>
  <c r="BC172" i="36"/>
  <c r="BD172" i="36"/>
  <c r="BC140" i="36"/>
  <c r="BD140" i="36"/>
  <c r="BC201" i="36"/>
  <c r="BD201" i="36"/>
  <c r="BC82" i="36"/>
  <c r="BD82" i="36"/>
  <c r="BC124" i="36"/>
  <c r="BD124" i="36"/>
  <c r="BC22" i="36"/>
  <c r="BD22" i="36"/>
  <c r="BC93" i="36"/>
  <c r="BD93" i="36"/>
  <c r="BC213" i="36"/>
  <c r="BD213" i="36"/>
  <c r="BC154" i="36"/>
  <c r="BD154" i="36"/>
  <c r="BC159" i="36"/>
  <c r="BD159" i="36"/>
  <c r="BC39" i="36"/>
  <c r="BD39" i="36"/>
  <c r="BC104" i="36"/>
  <c r="BD104" i="36"/>
  <c r="BC100" i="36"/>
  <c r="BD100" i="36"/>
  <c r="BC92" i="36"/>
  <c r="BD92" i="36"/>
  <c r="BC26" i="36"/>
  <c r="BD26" i="36"/>
  <c r="BC29" i="36"/>
  <c r="BD29" i="36"/>
  <c r="BC218" i="36"/>
  <c r="BD218" i="36"/>
  <c r="BC121" i="36"/>
  <c r="BD121" i="36"/>
  <c r="BC102" i="36"/>
  <c r="BD102" i="36"/>
  <c r="BC129" i="36"/>
  <c r="BD129" i="36"/>
  <c r="BC221" i="36"/>
  <c r="BD221" i="36"/>
  <c r="BC105" i="36"/>
  <c r="BD105" i="36"/>
  <c r="BC141" i="36"/>
  <c r="BD141" i="36"/>
  <c r="H66" i="19"/>
  <c r="AD65" i="21"/>
  <c r="F109" i="28"/>
  <c r="BC161" i="36"/>
  <c r="BD161" i="36"/>
  <c r="BC14" i="36"/>
  <c r="BD14" i="36"/>
  <c r="BC34" i="36"/>
  <c r="BD34" i="36"/>
  <c r="BC87" i="36"/>
  <c r="BD87" i="36"/>
  <c r="BC137" i="36"/>
  <c r="BD137" i="36"/>
  <c r="BC46" i="36"/>
  <c r="BD46" i="36"/>
  <c r="BC110" i="36"/>
  <c r="BD110" i="36"/>
  <c r="BC48" i="36"/>
  <c r="BD48" i="36"/>
  <c r="BC21" i="36"/>
  <c r="BD21" i="36"/>
  <c r="BC54" i="36"/>
  <c r="BD54" i="36"/>
  <c r="H67" i="19"/>
  <c r="AD66" i="21"/>
  <c r="F115" i="28"/>
  <c r="BC113" i="36"/>
  <c r="BD113" i="36"/>
  <c r="BC138" i="36"/>
  <c r="BD138" i="36"/>
  <c r="BC75" i="36"/>
  <c r="BD75" i="36"/>
  <c r="BC66" i="36"/>
  <c r="BD66" i="36"/>
  <c r="BC47" i="36"/>
  <c r="BD47" i="36"/>
  <c r="BC90" i="36"/>
  <c r="BD90" i="36"/>
  <c r="BC76" i="36"/>
  <c r="BD76" i="36"/>
  <c r="BC119" i="36"/>
  <c r="BD119" i="36"/>
  <c r="BC109" i="36"/>
  <c r="BD109" i="36"/>
  <c r="BC73" i="36"/>
  <c r="BD73" i="36"/>
  <c r="BC179" i="36"/>
  <c r="BD179" i="36"/>
  <c r="BC28" i="36"/>
  <c r="BD28" i="36"/>
  <c r="BB173" i="36"/>
  <c r="BC173" i="36"/>
  <c r="BD173" i="36"/>
  <c r="BB63" i="36"/>
  <c r="BC63" i="36"/>
  <c r="BD63" i="36"/>
  <c r="BB188" i="36"/>
  <c r="BC188" i="36"/>
  <c r="BD188" i="36"/>
  <c r="BB9" i="36"/>
  <c r="BC9" i="36"/>
  <c r="BD9" i="36"/>
  <c r="BC80" i="36"/>
  <c r="BD80" i="36"/>
  <c r="BC67" i="36"/>
  <c r="BD67" i="36"/>
  <c r="BC199" i="36"/>
  <c r="BD199" i="36"/>
  <c r="BC118" i="36"/>
  <c r="BD118" i="36"/>
  <c r="BB64" i="36"/>
  <c r="BC64" i="36"/>
  <c r="BD64" i="36"/>
  <c r="BB176" i="36"/>
  <c r="BC176" i="36"/>
  <c r="BD176" i="36"/>
  <c r="BB70" i="36"/>
  <c r="BC70" i="36"/>
  <c r="BD70" i="36"/>
  <c r="BC65" i="36"/>
  <c r="BD65" i="36"/>
  <c r="BC98" i="36"/>
  <c r="BD98" i="36"/>
  <c r="BC81" i="36"/>
  <c r="BD81" i="36"/>
  <c r="BC49" i="36"/>
  <c r="BD49" i="36"/>
  <c r="BC44" i="36"/>
  <c r="BD44" i="36"/>
  <c r="BC52" i="36"/>
  <c r="BD52" i="36"/>
  <c r="BB51" i="36"/>
  <c r="BC51" i="36"/>
  <c r="BD51" i="36"/>
  <c r="BB45" i="36"/>
  <c r="BC45" i="36"/>
  <c r="BD45" i="36"/>
  <c r="BB165" i="36"/>
  <c r="BC165" i="36"/>
  <c r="BD165" i="36"/>
  <c r="BB207" i="36"/>
  <c r="BC207" i="36"/>
  <c r="BD207" i="36"/>
  <c r="BC27" i="36"/>
  <c r="BD27" i="36"/>
  <c r="BB35" i="36"/>
  <c r="BC35" i="36"/>
  <c r="BD35" i="36"/>
  <c r="BB167" i="36"/>
  <c r="BC167" i="36"/>
  <c r="BD167" i="36"/>
  <c r="N264" i="1"/>
  <c r="F64" i="28"/>
  <c r="BB210" i="36"/>
  <c r="BC210" i="36"/>
  <c r="BD210" i="36"/>
  <c r="BB175" i="36"/>
  <c r="BC175" i="36"/>
  <c r="BD175" i="36"/>
  <c r="BB206" i="36"/>
  <c r="BC206" i="36"/>
  <c r="BD206" i="36"/>
  <c r="BB136" i="36"/>
  <c r="BC136" i="36"/>
  <c r="BD136" i="36"/>
  <c r="BB108" i="36"/>
  <c r="BC108" i="36"/>
  <c r="BD108" i="36"/>
  <c r="BC122" i="36"/>
  <c r="BD122" i="36"/>
  <c r="BB147" i="36"/>
  <c r="BC147" i="36"/>
  <c r="BD147" i="36"/>
  <c r="BC59" i="36"/>
  <c r="BD59" i="36"/>
  <c r="BB177" i="36"/>
  <c r="BC177" i="36"/>
  <c r="BD177" i="36"/>
  <c r="BB91" i="36"/>
  <c r="BC91" i="36"/>
  <c r="BD91" i="36"/>
  <c r="BB53" i="36"/>
  <c r="BC53" i="36"/>
  <c r="BD53" i="36"/>
  <c r="BC120" i="36"/>
  <c r="BD120" i="36"/>
  <c r="BC68" i="36"/>
  <c r="BD68" i="36"/>
  <c r="BC12" i="36"/>
  <c r="BD12" i="36"/>
  <c r="BB106" i="36"/>
  <c r="BC106" i="36"/>
  <c r="BD106" i="36"/>
  <c r="BC8" i="36"/>
  <c r="BD8" i="36"/>
  <c r="BC123" i="36"/>
  <c r="BD123" i="36"/>
  <c r="BB202" i="36"/>
  <c r="BC202" i="36"/>
  <c r="BD202" i="36"/>
  <c r="BC10" i="36"/>
  <c r="BD10" i="36"/>
  <c r="BB32" i="36"/>
  <c r="BC32" i="36"/>
  <c r="BD32" i="36"/>
  <c r="BB180" i="36"/>
  <c r="BC193" i="36"/>
  <c r="BD193" i="36"/>
  <c r="BB125" i="36"/>
  <c r="BC125" i="36"/>
  <c r="BD125" i="36"/>
  <c r="BC55" i="36"/>
  <c r="BD55" i="36"/>
  <c r="BB171" i="36"/>
  <c r="BC171" i="36"/>
  <c r="BD171" i="36"/>
  <c r="BC200" i="36"/>
  <c r="BD200" i="36"/>
  <c r="BC116" i="36"/>
  <c r="BD116" i="36"/>
  <c r="BC94" i="36"/>
  <c r="BD94" i="36"/>
  <c r="BC37" i="36"/>
  <c r="BD37" i="36"/>
  <c r="BC19" i="36"/>
  <c r="BD19" i="36"/>
  <c r="BB11" i="36"/>
  <c r="BC11" i="36"/>
  <c r="BD11" i="36"/>
  <c r="BB89" i="36"/>
  <c r="BC103" i="36"/>
  <c r="BD103" i="36"/>
  <c r="BB203" i="36"/>
  <c r="BC203" i="36"/>
  <c r="BD203" i="36"/>
  <c r="BB18" i="36"/>
  <c r="BC18" i="36"/>
  <c r="BD18" i="36"/>
  <c r="BB211" i="36"/>
  <c r="BC211" i="36"/>
  <c r="BD211" i="36"/>
  <c r="BB84" i="36"/>
  <c r="BC84" i="36"/>
  <c r="BD84" i="36"/>
  <c r="BB77" i="36"/>
  <c r="BC77" i="36"/>
  <c r="BD77" i="36"/>
  <c r="BC181" i="36"/>
  <c r="BD181" i="36"/>
  <c r="BB220" i="36"/>
  <c r="BC220" i="36"/>
  <c r="BD220" i="36"/>
  <c r="BB152" i="36"/>
  <c r="BC152" i="36"/>
  <c r="BD152" i="36"/>
  <c r="BB20" i="36"/>
  <c r="BC20" i="36"/>
  <c r="BD20" i="36"/>
  <c r="BC111" i="36"/>
  <c r="BD111" i="36"/>
  <c r="BC126" i="36"/>
  <c r="BD126" i="36"/>
  <c r="BB143" i="36"/>
  <c r="BC143" i="36"/>
  <c r="BD143" i="36"/>
  <c r="BB107" i="36"/>
  <c r="BC107" i="36"/>
  <c r="BD107" i="36"/>
  <c r="BC174" i="36"/>
  <c r="BD174" i="36"/>
  <c r="BB41" i="36"/>
  <c r="BC41" i="36"/>
  <c r="BD41" i="36"/>
  <c r="BB195" i="36"/>
  <c r="BC195" i="36"/>
  <c r="BD195" i="36"/>
  <c r="BC56" i="36"/>
  <c r="BD56" i="36"/>
  <c r="BC71" i="36"/>
  <c r="BD71" i="36"/>
  <c r="BB40" i="36"/>
  <c r="BC40" i="36"/>
  <c r="BD40" i="36"/>
  <c r="BB153" i="36"/>
  <c r="BC153" i="36"/>
  <c r="BD153" i="36"/>
  <c r="BB215" i="36"/>
  <c r="BC215" i="36"/>
  <c r="BD215" i="36"/>
  <c r="BB170" i="36"/>
  <c r="BC170" i="36"/>
  <c r="BD170" i="36"/>
  <c r="BB198" i="36"/>
  <c r="BC198" i="36"/>
  <c r="BD198" i="36"/>
  <c r="BB23" i="36"/>
  <c r="BC23" i="36"/>
  <c r="BD23" i="36"/>
  <c r="BB57" i="36"/>
  <c r="BC57" i="36"/>
  <c r="BD57" i="36"/>
  <c r="BB194" i="36"/>
  <c r="H70" i="19"/>
  <c r="AD69" i="21"/>
  <c r="F133" i="28"/>
  <c r="H69" i="19"/>
  <c r="AD68" i="21"/>
  <c r="F127" i="28"/>
  <c r="D35" i="29"/>
  <c r="F67" i="29"/>
  <c r="H119" i="1"/>
  <c r="C81" i="10"/>
  <c r="D62" i="29"/>
  <c r="D97" i="29"/>
  <c r="H118" i="1"/>
  <c r="H51" i="1"/>
  <c r="J113" i="19"/>
  <c r="L45" i="1"/>
  <c r="N33" i="1"/>
  <c r="O33" i="1"/>
  <c r="BC112" i="36"/>
  <c r="BD112" i="36"/>
  <c r="BC162" i="36"/>
  <c r="BD162" i="36"/>
  <c r="BC69" i="36"/>
  <c r="BD69" i="36"/>
  <c r="BC178" i="36"/>
  <c r="BD178" i="36"/>
  <c r="BC31" i="36"/>
  <c r="BD31" i="36"/>
  <c r="BC130" i="36"/>
  <c r="BD130" i="36"/>
  <c r="L126" i="1"/>
  <c r="BC89" i="36"/>
  <c r="BD89" i="36"/>
  <c r="BC15" i="36"/>
  <c r="BD15" i="36"/>
  <c r="BC194" i="36"/>
  <c r="BD194" i="36"/>
  <c r="BC128" i="36"/>
  <c r="BD128" i="36"/>
  <c r="BC163" i="36"/>
  <c r="BD163" i="36"/>
  <c r="BC16" i="36"/>
  <c r="BD16" i="36"/>
  <c r="BC180" i="36"/>
  <c r="BD180" i="36"/>
  <c r="BC191" i="36"/>
  <c r="BD191" i="36"/>
  <c r="BC142" i="36"/>
  <c r="BD142" i="36"/>
  <c r="BC149" i="36"/>
  <c r="BD149" i="36"/>
  <c r="BC134" i="36"/>
  <c r="BD134" i="36"/>
  <c r="BC144" i="36"/>
  <c r="BD144" i="36"/>
  <c r="BC83" i="36"/>
  <c r="BD83" i="36"/>
  <c r="BC88" i="36"/>
  <c r="BD88" i="36"/>
  <c r="BC183" i="36"/>
  <c r="BD183" i="36"/>
  <c r="BC217" i="36"/>
  <c r="BD217" i="36"/>
  <c r="BC135" i="36"/>
  <c r="BD135" i="36"/>
  <c r="BC197" i="36"/>
  <c r="BD197" i="36"/>
  <c r="BC157" i="36"/>
  <c r="BD157" i="36"/>
  <c r="BC30" i="36"/>
  <c r="BD30" i="36"/>
  <c r="BD42" i="36"/>
  <c r="BG9" i="36"/>
  <c r="BI9" i="36"/>
  <c r="BC184" i="36"/>
  <c r="BD184" i="36"/>
  <c r="BC17" i="36"/>
  <c r="BD17" i="36"/>
  <c r="BD24" i="36"/>
  <c r="BG8" i="36"/>
  <c r="D283" i="1"/>
  <c r="BC117" i="36"/>
  <c r="BD117" i="36"/>
  <c r="BD132" i="36"/>
  <c r="BG14" i="36"/>
  <c r="BI14" i="36"/>
  <c r="BC209" i="36"/>
  <c r="BD209" i="36"/>
  <c r="BC72" i="36"/>
  <c r="BD72" i="36"/>
  <c r="BD114" i="36"/>
  <c r="BG13" i="36"/>
  <c r="BI13" i="36"/>
  <c r="BD60" i="36"/>
  <c r="BG10" i="36"/>
  <c r="BI10" i="36"/>
  <c r="BD78" i="36"/>
  <c r="BG11" i="36"/>
  <c r="BI11" i="36"/>
  <c r="D63" i="29"/>
  <c r="D121" i="9"/>
  <c r="C91" i="10"/>
  <c r="C92" i="10"/>
  <c r="N32" i="1"/>
  <c r="O32" i="1"/>
  <c r="N31" i="1"/>
  <c r="O31" i="1"/>
  <c r="N29" i="1"/>
  <c r="N30" i="1"/>
  <c r="O30" i="1"/>
  <c r="F62" i="29"/>
  <c r="F97" i="29"/>
  <c r="F99" i="29"/>
  <c r="F63" i="29"/>
  <c r="F68" i="29"/>
  <c r="F35" i="29"/>
  <c r="D38" i="29"/>
  <c r="BD168" i="36"/>
  <c r="BG16" i="36"/>
  <c r="BI16" i="36"/>
  <c r="BD150" i="36"/>
  <c r="BG15" i="36"/>
  <c r="BI15" i="36"/>
  <c r="BD186" i="36"/>
  <c r="BG17" i="36"/>
  <c r="BI17" i="36"/>
  <c r="BD96" i="36"/>
  <c r="BG12" i="36"/>
  <c r="BI12" i="36"/>
  <c r="BD204" i="36"/>
  <c r="BG18" i="36"/>
  <c r="BI18" i="36"/>
  <c r="H126" i="1"/>
  <c r="D68" i="29"/>
  <c r="N126" i="1"/>
  <c r="H129" i="1"/>
  <c r="BD222" i="36"/>
  <c r="BG19" i="36"/>
  <c r="BI19" i="36"/>
  <c r="BI8" i="36"/>
  <c r="N196" i="1"/>
  <c r="D100" i="29"/>
  <c r="N152" i="19"/>
  <c r="D42" i="29"/>
  <c r="F38" i="29"/>
  <c r="F71" i="29"/>
  <c r="F111" i="29"/>
  <c r="F101" i="29"/>
  <c r="O29" i="1"/>
  <c r="N34" i="1"/>
  <c r="O34" i="1"/>
  <c r="BG20" i="36"/>
  <c r="H101" i="19"/>
  <c r="H128" i="1"/>
  <c r="C121" i="9"/>
  <c r="D71" i="29"/>
  <c r="AN20" i="36"/>
  <c r="BI20" i="36"/>
  <c r="AP20" i="36"/>
  <c r="F120" i="29"/>
  <c r="F129" i="29"/>
  <c r="F70" i="29"/>
  <c r="F104" i="29"/>
  <c r="F106" i="29"/>
  <c r="F42" i="29"/>
  <c r="D44" i="29"/>
  <c r="D70" i="29"/>
  <c r="D104" i="29"/>
  <c r="H130" i="1"/>
  <c r="N219" i="1"/>
  <c r="D85" i="29"/>
  <c r="D45" i="29"/>
  <c r="F44" i="29"/>
  <c r="F112" i="29"/>
  <c r="H288" i="1"/>
  <c r="N221" i="1"/>
  <c r="N199" i="19"/>
  <c r="J199" i="19"/>
  <c r="F68" i="28"/>
  <c r="L192" i="19"/>
  <c r="F121" i="29"/>
  <c r="F130" i="29"/>
  <c r="F45" i="29"/>
  <c r="D84" i="29"/>
  <c r="D105" i="29"/>
  <c r="N228" i="1"/>
  <c r="L228" i="1"/>
  <c r="D78" i="29"/>
  <c r="H289" i="1"/>
  <c r="N203" i="1"/>
  <c r="N227" i="1"/>
  <c r="D101" i="29"/>
  <c r="J198" i="19"/>
  <c r="F69" i="28"/>
  <c r="H102" i="1"/>
  <c r="H86" i="1"/>
  <c r="D106" i="29"/>
  <c r="N243" i="1"/>
  <c r="N251" i="1"/>
  <c r="D130" i="29"/>
  <c r="J228" i="1"/>
  <c r="N242" i="1"/>
  <c r="J242" i="1"/>
  <c r="J227" i="1"/>
  <c r="D77" i="29"/>
  <c r="D98" i="29"/>
  <c r="D99" i="29"/>
  <c r="L227" i="1"/>
  <c r="D111" i="29"/>
  <c r="N198" i="19"/>
  <c r="N205" i="1"/>
  <c r="D112" i="29"/>
  <c r="C122" i="9"/>
  <c r="P106" i="19"/>
  <c r="I20" i="29"/>
  <c r="L50" i="28"/>
  <c r="J243" i="1"/>
  <c r="N250" i="1"/>
  <c r="D129" i="29"/>
  <c r="L242" i="1"/>
  <c r="D123" i="9"/>
  <c r="L243" i="1"/>
  <c r="F92" i="28"/>
  <c r="D122" i="9"/>
  <c r="D93" i="29"/>
  <c r="F56" i="29"/>
  <c r="F28" i="29"/>
  <c r="D21" i="29"/>
  <c r="D22" i="29"/>
  <c r="F20" i="29"/>
  <c r="F29" i="29"/>
  <c r="F24" i="29"/>
  <c r="D49" i="29"/>
  <c r="F50" i="29"/>
  <c r="D28" i="29"/>
  <c r="D29" i="29"/>
  <c r="D20" i="29"/>
  <c r="D24" i="29"/>
  <c r="D23" i="29"/>
  <c r="F22" i="29"/>
  <c r="F23" i="29"/>
  <c r="F21" i="29"/>
  <c r="F49" i="29"/>
  <c r="D50" i="29"/>
  <c r="F55" i="29"/>
  <c r="H105" i="19"/>
  <c r="H93" i="1"/>
  <c r="H104" i="1"/>
  <c r="H98" i="1"/>
  <c r="H102" i="19"/>
  <c r="H103" i="19"/>
  <c r="F95" i="28"/>
  <c r="D120" i="29"/>
  <c r="J202" i="19"/>
  <c r="C123" i="9"/>
  <c r="D121" i="29"/>
  <c r="J203" i="19"/>
  <c r="F90" i="29"/>
  <c r="F92" i="29"/>
  <c r="H110" i="1"/>
  <c r="H99" i="1"/>
  <c r="D56" i="29"/>
  <c r="H100" i="19"/>
  <c r="B121" i="9"/>
  <c r="F110" i="29"/>
  <c r="F114" i="29"/>
  <c r="F94" i="29"/>
  <c r="E121" i="9"/>
  <c r="H270" i="1"/>
  <c r="D55" i="29"/>
  <c r="D90" i="29"/>
  <c r="H134" i="1"/>
  <c r="H97" i="1"/>
  <c r="D270" i="1"/>
  <c r="F295" i="1"/>
  <c r="D126" i="9"/>
  <c r="T56" i="21"/>
  <c r="C126" i="9"/>
  <c r="P56" i="21"/>
  <c r="H136" i="1"/>
  <c r="H135" i="1"/>
  <c r="B126" i="9"/>
  <c r="F128" i="29"/>
  <c r="F132" i="29"/>
  <c r="F119" i="29"/>
  <c r="L56" i="21"/>
  <c r="E126" i="9"/>
  <c r="H104" i="19"/>
  <c r="F21" i="28"/>
  <c r="F52" i="28"/>
  <c r="D271" i="1"/>
  <c r="F272" i="1"/>
  <c r="D272" i="1"/>
  <c r="F50" i="28"/>
  <c r="F19" i="28"/>
  <c r="F123" i="29"/>
  <c r="J207" i="19"/>
  <c r="N176" i="1"/>
  <c r="N178" i="1"/>
  <c r="J197" i="19"/>
  <c r="F67" i="28"/>
  <c r="L178" i="19"/>
  <c r="H287" i="1"/>
  <c r="D80" i="29"/>
  <c r="N197" i="19"/>
  <c r="D79" i="29"/>
  <c r="N226" i="1"/>
  <c r="D91" i="29"/>
  <c r="D92" i="29"/>
  <c r="N241" i="1"/>
  <c r="D94" i="29"/>
  <c r="N230" i="1"/>
  <c r="J230" i="1"/>
  <c r="D280" i="1"/>
  <c r="J226" i="1"/>
  <c r="L226" i="1"/>
  <c r="B122" i="9"/>
  <c r="E122" i="9"/>
  <c r="L230" i="1"/>
  <c r="D110" i="29"/>
  <c r="L241" i="1"/>
  <c r="J241" i="1"/>
  <c r="N245" i="1"/>
  <c r="J245" i="1"/>
  <c r="D274" i="1"/>
  <c r="N249" i="1"/>
  <c r="J206" i="19"/>
  <c r="F26" i="28"/>
  <c r="F57" i="28"/>
  <c r="D275" i="1"/>
  <c r="L245" i="1"/>
  <c r="J201" i="19"/>
  <c r="F89" i="28"/>
  <c r="D119" i="29"/>
  <c r="B123" i="9"/>
  <c r="E123" i="9"/>
  <c r="D114" i="29"/>
  <c r="H280" i="1"/>
  <c r="D128" i="29"/>
  <c r="N254" i="1"/>
  <c r="B127" i="9"/>
  <c r="D127" i="9"/>
  <c r="T57" i="21"/>
  <c r="C127" i="9"/>
  <c r="P57" i="21"/>
  <c r="F55" i="28"/>
  <c r="F24" i="28"/>
  <c r="F276" i="1"/>
  <c r="D276" i="1"/>
  <c r="L57" i="21"/>
  <c r="E127" i="9"/>
  <c r="J254" i="1"/>
  <c r="L254" i="1"/>
  <c r="D132" i="29"/>
  <c r="B128" i="9"/>
  <c r="D128" i="9"/>
  <c r="T58" i="21"/>
  <c r="C128" i="9"/>
  <c r="P58" i="21"/>
  <c r="P241" i="1"/>
  <c r="F90" i="28"/>
  <c r="P245" i="1"/>
  <c r="F99" i="28"/>
  <c r="H274" i="1"/>
  <c r="F56" i="28"/>
  <c r="F25" i="28"/>
  <c r="J205" i="19"/>
  <c r="P242" i="1"/>
  <c r="F96" i="28"/>
  <c r="F98" i="28"/>
  <c r="D123" i="29"/>
  <c r="P243" i="1"/>
  <c r="F93" i="28"/>
  <c r="L58" i="21"/>
  <c r="E128" i="9"/>
  <c r="F101" i="28"/>
  <c r="AB57" i="21"/>
</calcChain>
</file>

<file path=xl/comments1.xml><?xml version="1.0" encoding="utf-8"?>
<comments xmlns="http://schemas.openxmlformats.org/spreadsheetml/2006/main">
  <authors>
    <author>dim</author>
  </authors>
  <commentList>
    <comment ref="F86" authorId="0">
      <text>
        <r>
          <rPr>
            <b/>
            <sz val="8"/>
            <color indexed="81"/>
            <rFont val="Tahoma"/>
            <family val="2"/>
          </rPr>
          <t>Si aparece las celda con color de fondo diferente al estándar significa que no coincide con la superficie declarada antes.</t>
        </r>
        <r>
          <rPr>
            <sz val="8"/>
            <color indexed="81"/>
            <rFont val="Tahoma"/>
            <family val="2"/>
          </rPr>
          <t xml:space="preserve">
</t>
        </r>
      </text>
    </comment>
  </commentList>
</comments>
</file>

<file path=xl/comments2.xml><?xml version="1.0" encoding="utf-8"?>
<comments xmlns="http://schemas.openxmlformats.org/spreadsheetml/2006/main">
  <authors>
    <author>dim</author>
  </authors>
  <commentList>
    <comment ref="F62" authorId="0">
      <text>
        <r>
          <rPr>
            <sz val="10"/>
            <color indexed="81"/>
            <rFont val="Tahoma"/>
            <family val="2"/>
          </rPr>
          <t xml:space="preserve">Area total del vano de las superficies transparentes de esta orientación
</t>
        </r>
      </text>
    </comment>
    <comment ref="J62" authorId="0">
      <text>
        <r>
          <rPr>
            <sz val="10"/>
            <color indexed="81"/>
            <rFont val="Tahoma"/>
            <family val="2"/>
          </rPr>
          <t xml:space="preserve">Transmisividad del vidrio a la radiación total
</t>
        </r>
      </text>
    </comment>
    <comment ref="L62" authorId="0">
      <text>
        <r>
          <rPr>
            <b/>
            <sz val="10"/>
            <color indexed="81"/>
            <rFont val="Tahoma"/>
            <family val="2"/>
          </rPr>
          <t>Relación entre la superficie el vidrio y la superficie total del vano.</t>
        </r>
      </text>
    </comment>
    <comment ref="D63" authorId="0">
      <text>
        <r>
          <rPr>
            <b/>
            <sz val="10"/>
            <color indexed="81"/>
            <rFont val="Tahoma"/>
            <family val="2"/>
          </rPr>
          <t>Ver calculo de FA en "tablas"</t>
        </r>
      </text>
    </comment>
    <comment ref="F63" authorId="0">
      <text>
        <r>
          <rPr>
            <b/>
            <sz val="10"/>
            <color indexed="81"/>
            <rFont val="Tahoma"/>
            <family val="2"/>
          </rPr>
          <t>Ver calculo de FA en "tablas"</t>
        </r>
      </text>
    </comment>
    <comment ref="J63" authorId="0">
      <text>
        <r>
          <rPr>
            <b/>
            <sz val="10"/>
            <color indexed="81"/>
            <rFont val="Tahoma"/>
            <family val="2"/>
          </rPr>
          <t>Ver calculo de FA en "tablas"</t>
        </r>
      </text>
    </comment>
    <comment ref="L63" authorId="0">
      <text>
        <r>
          <rPr>
            <b/>
            <sz val="10"/>
            <color indexed="81"/>
            <rFont val="Tahoma"/>
            <family val="2"/>
          </rPr>
          <t>Ver calculo de FA en "tablas"</t>
        </r>
      </text>
    </comment>
    <comment ref="D64" authorId="0">
      <text>
        <r>
          <rPr>
            <b/>
            <sz val="10"/>
            <color indexed="81"/>
            <rFont val="Tahoma"/>
            <family val="2"/>
          </rPr>
          <t>Ver calculo de FA en "tablas"</t>
        </r>
      </text>
    </comment>
    <comment ref="F64" authorId="0">
      <text>
        <r>
          <rPr>
            <b/>
            <sz val="10"/>
            <color indexed="81"/>
            <rFont val="Tahoma"/>
            <family val="2"/>
          </rPr>
          <t>Ver calculo de FA en "tablas"</t>
        </r>
      </text>
    </comment>
    <comment ref="J64" authorId="0">
      <text>
        <r>
          <rPr>
            <b/>
            <sz val="10"/>
            <color indexed="81"/>
            <rFont val="Tahoma"/>
            <family val="2"/>
          </rPr>
          <t>Ver calculo de FA en "tablas"</t>
        </r>
      </text>
    </comment>
    <comment ref="L64" authorId="0">
      <text>
        <r>
          <rPr>
            <b/>
            <sz val="10"/>
            <color indexed="81"/>
            <rFont val="Tahoma"/>
            <family val="2"/>
          </rPr>
          <t>Ver calculo de FA en "tablas"</t>
        </r>
      </text>
    </comment>
    <comment ref="D65" authorId="0">
      <text>
        <r>
          <rPr>
            <b/>
            <sz val="10"/>
            <color indexed="81"/>
            <rFont val="Tahoma"/>
            <family val="2"/>
          </rPr>
          <t>Ver calculo de FA en "tablas"</t>
        </r>
      </text>
    </comment>
    <comment ref="F65" authorId="0">
      <text>
        <r>
          <rPr>
            <b/>
            <sz val="10"/>
            <color indexed="81"/>
            <rFont val="Tahoma"/>
            <family val="2"/>
          </rPr>
          <t>Ver calculo de FA en "tablas"</t>
        </r>
      </text>
    </comment>
    <comment ref="J65" authorId="0">
      <text>
        <r>
          <rPr>
            <b/>
            <sz val="10"/>
            <color indexed="81"/>
            <rFont val="Tahoma"/>
            <family val="2"/>
          </rPr>
          <t>Ver calculo de FA en "tablas"</t>
        </r>
      </text>
    </comment>
    <comment ref="L65" authorId="0">
      <text>
        <r>
          <rPr>
            <b/>
            <sz val="10"/>
            <color indexed="81"/>
            <rFont val="Tahoma"/>
            <family val="2"/>
          </rPr>
          <t>Ver calculo de FA en "tablas"</t>
        </r>
      </text>
    </comment>
    <comment ref="D66" authorId="0">
      <text>
        <r>
          <rPr>
            <b/>
            <sz val="10"/>
            <color indexed="81"/>
            <rFont val="Tahoma"/>
            <family val="2"/>
          </rPr>
          <t>Ver calculo de FA en "tablas"</t>
        </r>
      </text>
    </comment>
    <comment ref="F66" authorId="0">
      <text>
        <r>
          <rPr>
            <b/>
            <sz val="10"/>
            <color indexed="81"/>
            <rFont val="Tahoma"/>
            <family val="2"/>
          </rPr>
          <t>Ver calculo de FA en "tablas"</t>
        </r>
      </text>
    </comment>
    <comment ref="J66" authorId="0">
      <text>
        <r>
          <rPr>
            <b/>
            <sz val="10"/>
            <color indexed="81"/>
            <rFont val="Tahoma"/>
            <family val="2"/>
          </rPr>
          <t>Ver calculo de FA en "tablas"</t>
        </r>
      </text>
    </comment>
    <comment ref="L66" authorId="0">
      <text>
        <r>
          <rPr>
            <b/>
            <sz val="10"/>
            <color indexed="81"/>
            <rFont val="Tahoma"/>
            <family val="2"/>
          </rPr>
          <t>Ver calculo de FA en "tablas"</t>
        </r>
      </text>
    </comment>
    <comment ref="D67" authorId="0">
      <text>
        <r>
          <rPr>
            <b/>
            <sz val="10"/>
            <color indexed="81"/>
            <rFont val="Tahoma"/>
            <family val="2"/>
          </rPr>
          <t>Ver calculo de FA en "tablas"</t>
        </r>
      </text>
    </comment>
    <comment ref="F67" authorId="0">
      <text>
        <r>
          <rPr>
            <b/>
            <sz val="10"/>
            <color indexed="81"/>
            <rFont val="Tahoma"/>
            <family val="2"/>
          </rPr>
          <t>Ver calculo de FA en "tablas"</t>
        </r>
      </text>
    </comment>
    <comment ref="J67" authorId="0">
      <text>
        <r>
          <rPr>
            <b/>
            <sz val="10"/>
            <color indexed="81"/>
            <rFont val="Tahoma"/>
            <family val="2"/>
          </rPr>
          <t>Ver calculo de FA en "tablas"</t>
        </r>
      </text>
    </comment>
    <comment ref="L67" authorId="0">
      <text>
        <r>
          <rPr>
            <b/>
            <sz val="10"/>
            <color indexed="81"/>
            <rFont val="Tahoma"/>
            <family val="2"/>
          </rPr>
          <t>Ver calculo de FA en "tablas"</t>
        </r>
      </text>
    </comment>
    <comment ref="D68" authorId="0">
      <text>
        <r>
          <rPr>
            <b/>
            <sz val="10"/>
            <color indexed="81"/>
            <rFont val="Tahoma"/>
            <family val="2"/>
          </rPr>
          <t>Ver calculo de FA en "tablas"</t>
        </r>
      </text>
    </comment>
    <comment ref="F68" authorId="0">
      <text>
        <r>
          <rPr>
            <b/>
            <sz val="10"/>
            <color indexed="81"/>
            <rFont val="Tahoma"/>
            <family val="2"/>
          </rPr>
          <t>Ver calculo de FA en "tablas"</t>
        </r>
      </text>
    </comment>
    <comment ref="J68" authorId="0">
      <text>
        <r>
          <rPr>
            <b/>
            <sz val="10"/>
            <color indexed="81"/>
            <rFont val="Tahoma"/>
            <family val="2"/>
          </rPr>
          <t>Ver calculo de FA en "tablas"</t>
        </r>
      </text>
    </comment>
    <comment ref="L68" authorId="0">
      <text>
        <r>
          <rPr>
            <b/>
            <sz val="10"/>
            <color indexed="81"/>
            <rFont val="Tahoma"/>
            <family val="2"/>
          </rPr>
          <t>Ver calculo de FA en "tablas"</t>
        </r>
      </text>
    </comment>
    <comment ref="F70" authorId="0">
      <text>
        <r>
          <rPr>
            <b/>
            <sz val="8"/>
            <color indexed="81"/>
            <rFont val="Tahoma"/>
            <family val="2"/>
          </rPr>
          <t>Si aparece las celda con color de fondo diferente al estándar significa que no coincide con la superficie declarada antes.</t>
        </r>
        <r>
          <rPr>
            <sz val="8"/>
            <color indexed="81"/>
            <rFont val="Tahoma"/>
            <family val="2"/>
          </rPr>
          <t xml:space="preserve">
</t>
        </r>
      </text>
    </comment>
  </commentList>
</comments>
</file>

<file path=xl/comments3.xml><?xml version="1.0" encoding="utf-8"?>
<comments xmlns="http://schemas.openxmlformats.org/spreadsheetml/2006/main">
  <authors>
    <author>dim</author>
  </authors>
  <commentList>
    <comment ref="E30" authorId="0">
      <text>
        <r>
          <rPr>
            <sz val="10"/>
            <color indexed="81"/>
            <rFont val="Tahoma"/>
            <family val="2"/>
          </rPr>
          <t xml:space="preserve">Area total del vano de las superficies transparentes de esta orientación
</t>
        </r>
      </text>
    </comment>
    <comment ref="I30" authorId="0">
      <text>
        <r>
          <rPr>
            <sz val="10"/>
            <color indexed="81"/>
            <rFont val="Tahoma"/>
            <family val="2"/>
          </rPr>
          <t xml:space="preserve">Transmisividad del vidrio
</t>
        </r>
      </text>
    </comment>
  </commentList>
</comments>
</file>

<file path=xl/sharedStrings.xml><?xml version="1.0" encoding="utf-8"?>
<sst xmlns="http://schemas.openxmlformats.org/spreadsheetml/2006/main" count="2766" uniqueCount="1304">
  <si>
    <t>Laja</t>
  </si>
  <si>
    <t>Lampa</t>
  </si>
  <si>
    <t>Lanco</t>
  </si>
  <si>
    <t xml:space="preserve">Angulo de azimut de los colectores </t>
  </si>
  <si>
    <t>Angulo de azimut</t>
  </si>
  <si>
    <t>Azimut</t>
  </si>
  <si>
    <t>(gados)</t>
  </si>
  <si>
    <t>Angulo de azimut de los colectores</t>
  </si>
  <si>
    <t>FC azimut</t>
  </si>
  <si>
    <t>Azi 2</t>
  </si>
  <si>
    <t>Azi 2 cuad</t>
  </si>
  <si>
    <t>Factor de energia primaria de la electricidad</t>
  </si>
  <si>
    <t>Las Cabras</t>
  </si>
  <si>
    <t>Las Condes</t>
  </si>
  <si>
    <t>Lautaro</t>
  </si>
  <si>
    <t>Lebu</t>
  </si>
  <si>
    <t>Licantén</t>
  </si>
  <si>
    <t>Limache</t>
  </si>
  <si>
    <t>Linares</t>
  </si>
  <si>
    <t>Litueche</t>
  </si>
  <si>
    <t>Llaillay</t>
  </si>
  <si>
    <t>Llanquihue</t>
  </si>
  <si>
    <t>Lo Barnechea</t>
  </si>
  <si>
    <t>Lo Prado</t>
  </si>
  <si>
    <t>Lolol</t>
  </si>
  <si>
    <t>Loncoche</t>
  </si>
  <si>
    <t>Longaví</t>
  </si>
  <si>
    <t>Los Alamos</t>
  </si>
  <si>
    <t>Los Andes</t>
  </si>
  <si>
    <t>Los Angeles</t>
  </si>
  <si>
    <t>Los Lagos</t>
  </si>
  <si>
    <t>Los Muermos</t>
  </si>
  <si>
    <t>Los Sauces</t>
  </si>
  <si>
    <t>Los Vilos</t>
  </si>
  <si>
    <t>Lota</t>
  </si>
  <si>
    <t>Lumaco</t>
  </si>
  <si>
    <t>Machalí</t>
  </si>
  <si>
    <t>Macul</t>
  </si>
  <si>
    <t>Máfil</t>
  </si>
  <si>
    <t>Maipú</t>
  </si>
  <si>
    <t>Malloa</t>
  </si>
  <si>
    <t>Marchigue</t>
  </si>
  <si>
    <t>María Elena</t>
  </si>
  <si>
    <t>María Pinto</t>
  </si>
  <si>
    <t>Mariquina</t>
  </si>
  <si>
    <t>Maule</t>
  </si>
  <si>
    <t>Maullín</t>
  </si>
  <si>
    <t>Mejillones</t>
  </si>
  <si>
    <t>Melipeuco</t>
  </si>
  <si>
    <t>Melipilla</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</si>
  <si>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</si>
  <si>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</si>
  <si>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</si>
  <si>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</si>
  <si>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</si>
  <si>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</si>
  <si>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</si>
  <si>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</si>
  <si>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</si>
  <si>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</si>
  <si>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</si>
  <si>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</si>
  <si>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</si>
  <si>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</si>
  <si>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</si>
  <si>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</si>
  <si>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</si>
  <si>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Olmué</t>
  </si>
  <si>
    <t>Ovalle</t>
  </si>
  <si>
    <t>Padre Hurtado</t>
  </si>
  <si>
    <t>Padre Las Casas</t>
  </si>
  <si>
    <t>Paihuano</t>
  </si>
  <si>
    <t>Paillaco</t>
  </si>
  <si>
    <t>Paine</t>
  </si>
  <si>
    <t>Palena</t>
  </si>
  <si>
    <t>Palmilla</t>
  </si>
  <si>
    <t>Panguipulli</t>
  </si>
  <si>
    <t>Panquehue</t>
  </si>
  <si>
    <t>Papudo</t>
  </si>
  <si>
    <t>Paredones</t>
  </si>
  <si>
    <t>Parral</t>
  </si>
  <si>
    <t>Pedro Aguirre Cerda</t>
  </si>
  <si>
    <t>Pelarco</t>
  </si>
  <si>
    <t>Pelluhue</t>
  </si>
  <si>
    <t>Pemuco</t>
  </si>
  <si>
    <t>Pencahue</t>
  </si>
  <si>
    <t>Penco</t>
  </si>
  <si>
    <t>Peñaflor</t>
  </si>
  <si>
    <t>Peñalolén</t>
  </si>
  <si>
    <t>Peralillo</t>
  </si>
  <si>
    <t>Perquenco</t>
  </si>
  <si>
    <t>Petorca</t>
  </si>
  <si>
    <t>Peumo</t>
  </si>
  <si>
    <t>Pica</t>
  </si>
  <si>
    <t>Pichidegua</t>
  </si>
  <si>
    <t>Pichilemu</t>
  </si>
  <si>
    <t>Pinto</t>
  </si>
  <si>
    <t>Pirque</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</si>
  <si>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</si>
  <si>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</si>
  <si>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</si>
  <si>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</si>
  <si>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</si>
  <si>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</si>
  <si>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</si>
  <si>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</si>
  <si>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</si>
  <si>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</si>
  <si>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</si>
  <si>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</si>
  <si>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</si>
  <si>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</si>
  <si>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</si>
  <si>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</si>
  <si>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</si>
  <si>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</si>
  <si>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</si>
  <si>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</si>
  <si>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</si>
  <si>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</si>
  <si>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</si>
  <si>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</si>
  <si>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Quellón</t>
  </si>
  <si>
    <t>Quemchi</t>
  </si>
  <si>
    <t>Quilaco</t>
  </si>
  <si>
    <t>Quilicura</t>
  </si>
  <si>
    <t>Quilleco</t>
  </si>
  <si>
    <t>Quillón</t>
  </si>
  <si>
    <t>Quillota</t>
  </si>
  <si>
    <t>Quilpué</t>
  </si>
  <si>
    <t>Quinchao</t>
  </si>
  <si>
    <t>Quinta de Tilcoco</t>
  </si>
  <si>
    <t>Quinta Normal</t>
  </si>
  <si>
    <t>Quintero</t>
  </si>
  <si>
    <t>Quirihue</t>
  </si>
  <si>
    <t>Rancagua</t>
  </si>
  <si>
    <t>Ranquil</t>
  </si>
  <si>
    <t>Rauco</t>
  </si>
  <si>
    <t>Recoleta</t>
  </si>
  <si>
    <t>Renaico</t>
  </si>
  <si>
    <t>Renca</t>
  </si>
  <si>
    <t>Rengo</t>
  </si>
  <si>
    <t>Requínoa</t>
  </si>
  <si>
    <t>Retiro</t>
  </si>
  <si>
    <t>Rinconada</t>
  </si>
  <si>
    <t>Río Bueno</t>
  </si>
  <si>
    <t>Río Claro</t>
  </si>
  <si>
    <t>Río Hurtado</t>
  </si>
  <si>
    <t>Río Ibáñez</t>
  </si>
  <si>
    <t>Río Negro</t>
  </si>
  <si>
    <t>Río Verde</t>
  </si>
  <si>
    <t>Romeral</t>
  </si>
  <si>
    <t>Saavedra</t>
  </si>
  <si>
    <t>Sagrada Familia</t>
  </si>
  <si>
    <t>Casa pareada / continua</t>
  </si>
  <si>
    <t>Nota: No se considera la demanda de calefacción ya que es muy baja. Luego, no es relevante en el consumo de energía total</t>
  </si>
  <si>
    <t>Area total de muros brutos exteriores</t>
  </si>
  <si>
    <t>Para este valor de RVM es obligatorio calcular</t>
  </si>
  <si>
    <t>la demanda de calefacción con el programa CCTE</t>
  </si>
  <si>
    <t>Factores del marco</t>
  </si>
  <si>
    <t>Madera</t>
  </si>
  <si>
    <t>Metal</t>
  </si>
  <si>
    <t>PVC</t>
  </si>
  <si>
    <t>Metal RPT</t>
  </si>
  <si>
    <t>No hay</t>
  </si>
  <si>
    <t>Salamanca</t>
  </si>
  <si>
    <t>San Antonio</t>
  </si>
  <si>
    <t>San Bernardo</t>
  </si>
  <si>
    <t>San Carlos</t>
  </si>
  <si>
    <t>San Clemente</t>
  </si>
  <si>
    <t>San Esteban</t>
  </si>
  <si>
    <t>San Fabián</t>
  </si>
  <si>
    <t>San Felipe</t>
  </si>
  <si>
    <t>San Fernando</t>
  </si>
  <si>
    <t>San Gregorio</t>
  </si>
  <si>
    <t>San Ignacio</t>
  </si>
  <si>
    <t>San Javier</t>
  </si>
  <si>
    <t>San Joaquín</t>
  </si>
  <si>
    <t>San José de Maipo</t>
  </si>
  <si>
    <t>San Juan de la Costa</t>
  </si>
  <si>
    <t>San Miguel</t>
  </si>
  <si>
    <t>San Nicolás</t>
  </si>
  <si>
    <t>San Pablo</t>
  </si>
  <si>
    <t>San Pedro</t>
  </si>
  <si>
    <t>San Pedro de Atacama</t>
  </si>
  <si>
    <t>San Pedro de la Paz</t>
  </si>
  <si>
    <t>San Rafael</t>
  </si>
  <si>
    <t>San Ramón</t>
  </si>
  <si>
    <t>San Rosendo</t>
  </si>
  <si>
    <t>San Vicente</t>
  </si>
  <si>
    <t>Santa Bárbara</t>
  </si>
  <si>
    <t>Santa Cruz</t>
  </si>
  <si>
    <t>Santa Juana</t>
  </si>
  <si>
    <t>Santa María</t>
  </si>
  <si>
    <t>Santo Domingo</t>
  </si>
  <si>
    <t>Sierra Gorda</t>
  </si>
  <si>
    <t>Talagante</t>
  </si>
  <si>
    <t>Talca</t>
  </si>
  <si>
    <t>Talcahuano</t>
  </si>
  <si>
    <t>Taltal</t>
  </si>
  <si>
    <t>Temuco</t>
  </si>
  <si>
    <t>Teno</t>
  </si>
  <si>
    <t>Teodoro Schmidt</t>
  </si>
  <si>
    <t>Tierra Amarilla</t>
  </si>
  <si>
    <t>Tiltil</t>
  </si>
  <si>
    <t>Timaukel</t>
  </si>
  <si>
    <t>Tirúa</t>
  </si>
  <si>
    <t>Tocopilla</t>
  </si>
  <si>
    <t>Toltén</t>
  </si>
  <si>
    <t>Tomé</t>
  </si>
  <si>
    <t>Torres del Paine</t>
  </si>
  <si>
    <t>Tortel</t>
  </si>
  <si>
    <t>Traiguén</t>
  </si>
  <si>
    <t>Treguaco</t>
  </si>
  <si>
    <t>Tucapel</t>
  </si>
  <si>
    <t>Valdivia</t>
  </si>
  <si>
    <t>Vallenar</t>
  </si>
  <si>
    <t>Valparaíso</t>
  </si>
  <si>
    <t>Vichuquén</t>
  </si>
  <si>
    <t>Victoria</t>
  </si>
  <si>
    <t>Vicuña</t>
  </si>
  <si>
    <t>Vilcún</t>
  </si>
  <si>
    <t>Villa Alegre</t>
  </si>
  <si>
    <t>Villa Alemana</t>
  </si>
  <si>
    <t>Villarrica</t>
  </si>
  <si>
    <t>Viña del Mar</t>
  </si>
  <si>
    <t>Vitacura</t>
  </si>
  <si>
    <t>Yerbas Buenas</t>
  </si>
  <si>
    <t>Yumbel</t>
  </si>
  <si>
    <t>Yungay</t>
  </si>
  <si>
    <t>Zapallar</t>
  </si>
  <si>
    <t>Indice</t>
  </si>
  <si>
    <t>( % )</t>
  </si>
  <si>
    <t>Rad solar por comuna</t>
  </si>
  <si>
    <t>Metodología</t>
  </si>
  <si>
    <t xml:space="preserve">Emisiones de CO2 </t>
  </si>
  <si>
    <t>2.3. Pagina 3</t>
  </si>
  <si>
    <t>Vent objeto</t>
  </si>
  <si>
    <t>Sup total envolvente</t>
  </si>
  <si>
    <t xml:space="preserve">      Una vivienda que cumple exactamente con la O.G.U.C (art. 4.1.10) y consideran sistemas de calefacción y agua caliente sanitaria estándar, califican generalmente en el nivel E. Las viviendas construidas con menores requerimientos califican en niveles F y G. </t>
  </si>
  <si>
    <t xml:space="preserve">      El indicador corresponde a un porcentaje del requerimiento energético de la referencia. Por ejemplo, un índice 40 significa que requiere solamente el 40% de  la energía que requiere la referencia..</t>
  </si>
  <si>
    <t xml:space="preserve">      Viviendas con un indicador menor requieren menos energía y ahorran dinero. La vivienda “A” con un índice 0 no requiere energía externa para calefacción, agua caliente e iluminación.</t>
  </si>
  <si>
    <r>
      <t xml:space="preserve">      Para una misma calificación energética y ubicación climática se pueden obtener distintos valores de requerimiento energético expresado en kWh/año o kWh/m</t>
    </r>
    <r>
      <rPr>
        <vertAlign val="superscript"/>
        <sz val="9"/>
        <rFont val="Arial"/>
        <family val="2"/>
      </rPr>
      <t>2</t>
    </r>
    <r>
      <rPr>
        <sz val="9"/>
        <rFont val="Arial"/>
        <family val="2"/>
      </rPr>
      <t xml:space="preserve"> año. Eso dependerá básicamente si se trata de una vivienda aislada o construida en agrupación, como son los departamentos. Estos últimos por lo general tienen una menor superficie expuesta al exterior, por donde se pierde energía, por tanto los requerimientos en [kwh] serán menores que una vivienda aislada. Lo miso sucede si la misma vivienda se encuentra en climas diferentes, una vivienda en Santiago requerirá menos energía que una vivienda en Punta Arenas.</t>
    </r>
  </si>
  <si>
    <t>El indicador de sobrecalentamiento es un índice cualitativo, que evalúa la existencia de atributos que hacen más propensa una vivienda a producir sobrecalentamiento en verano. Un índice 0 indica que el riesgo de sobrecalentamiento es muy bajo. Un índice 3, indica que todos los atributos que pueden producir sobrecalentamiento están en su grado máximo</t>
  </si>
  <si>
    <t>Sistema de Certificación Térmica de Viviendas de Chile</t>
  </si>
  <si>
    <t>Dirección de la vivienda</t>
  </si>
  <si>
    <t xml:space="preserve">Este Certificado se ha obtenido siguiendo el  procedimiento establecido en el “Manual de Certificación Energética de viviendas Versión 1.0, del MINVU”. Ha sido realizado por un Asesor Energético calificado, acreditado por la Institución Administradora del proceso de certificación. Una copia de este certificado se encuentra en el Registro Nacional de Certificados Energéticos de viviendas en la Institución Administradora. </t>
  </si>
  <si>
    <t xml:space="preserve">     El indicador energético se obtiene a través de la comparación del comportamiento energético de la vivienda a evaluar respecto a una referencia. La Vivienda de Referencia corresponde a la misma vivienda evaluada en forma, dimensiones, ubicación geográfica y superficie vidriada y con una orientación promedio. Para ello se promedia los resultados en las 4 orientaciones principales. La envolvente cumple en forma exacta con los requerimientos de transmitancia térmica establecidos en el art. 4.1.10 de la O.G.U.C del año 2007, excepto para la zona 1, donde el valor de U del muro utilizado es U = 3 W/m2K. Además, considera sistemas de calefacción y agua caliente sanitaria estándar.</t>
  </si>
  <si>
    <t>Para las clasificaciones A y B existe también una opción A+ y B+. El calificador “+” indica que además de cumplir con todos los requerimientos para obtener la calificación A o B, ha pasado una prueba, donde se ha comprobado mediante mediciones en terreno, los niveles de infiltraciones de aire.</t>
  </si>
  <si>
    <t>Ensayo de presurización</t>
  </si>
  <si>
    <t>No realizó ensayo de presurización</t>
  </si>
  <si>
    <t>+</t>
  </si>
  <si>
    <t>Cumplió con éxito el ensayo de infiltraciones</t>
  </si>
  <si>
    <t>PARA CONFIRMAR LA VALIDEZ DEL CERTIFICADO</t>
  </si>
  <si>
    <t xml:space="preserve">     Se podrá verificar la validez de este Certificado visitando la página WEB: www.instituciónreguladora.cl, donde se encontrará el Certificado original, ingresando la dirección de la vivienda o el N° de certificado.
      Por otra parte, en este sitio, podrá conocer más detalles respecto al procedimiento de certificación y de acreditación del asesor energético.</t>
  </si>
  <si>
    <t>Selleccion de tipo de vivienda</t>
  </si>
  <si>
    <t>Casa pareada</t>
  </si>
  <si>
    <t>Dimensiones de la vivienda</t>
  </si>
  <si>
    <t>Piso 1</t>
  </si>
  <si>
    <t>Piso 2</t>
  </si>
  <si>
    <t>Area (m²)</t>
  </si>
  <si>
    <t>ˣ</t>
  </si>
  <si>
    <t>=</t>
  </si>
  <si>
    <t>Volumen (m³)</t>
  </si>
  <si>
    <t>Altura (m)</t>
  </si>
  <si>
    <t xml:space="preserve">Volumen total </t>
  </si>
  <si>
    <t>Ventilación</t>
  </si>
  <si>
    <t>Construcción</t>
  </si>
  <si>
    <t>Techo 1</t>
  </si>
  <si>
    <t>Techo 2</t>
  </si>
  <si>
    <t>Puertas</t>
  </si>
  <si>
    <t>Ventanas 1</t>
  </si>
  <si>
    <t>Ventanas 2</t>
  </si>
  <si>
    <t>Muro 1</t>
  </si>
  <si>
    <t>Muro 2</t>
  </si>
  <si>
    <t>Muro 3</t>
  </si>
  <si>
    <t>Elementos</t>
  </si>
  <si>
    <t>U (W/Km²)</t>
  </si>
  <si>
    <t>AˣU (W/K)</t>
  </si>
  <si>
    <t>Area total (m²)</t>
  </si>
  <si>
    <t>Número ocupantes (N)</t>
  </si>
  <si>
    <t>(ren/hr)</t>
  </si>
  <si>
    <t>URT</t>
  </si>
  <si>
    <t>(W/K)</t>
  </si>
  <si>
    <t>Ganancias</t>
  </si>
  <si>
    <t>(W)</t>
  </si>
  <si>
    <t>Internas</t>
  </si>
  <si>
    <t>Techo</t>
  </si>
  <si>
    <t>Ganancia (W)</t>
  </si>
  <si>
    <t>Temperatura base</t>
  </si>
  <si>
    <t>Grados días base variable</t>
  </si>
  <si>
    <t>(kWh/año)</t>
  </si>
  <si>
    <t>(K)</t>
  </si>
  <si>
    <t>I (W/m²)</t>
  </si>
  <si>
    <t>A (m²)</t>
  </si>
  <si>
    <t>Area total (At)</t>
  </si>
  <si>
    <t>Ganancias por personas</t>
  </si>
  <si>
    <t>GV</t>
  </si>
  <si>
    <t>Solares (superficies translúcidas)</t>
  </si>
  <si>
    <t>N</t>
  </si>
  <si>
    <t>NE / NO</t>
  </si>
  <si>
    <t>E / O</t>
  </si>
  <si>
    <t>SE / SO</t>
  </si>
  <si>
    <t>S</t>
  </si>
  <si>
    <t>Demanda en calefacción en la vivienda</t>
  </si>
  <si>
    <t>Demanda iluminación</t>
  </si>
  <si>
    <t>Demanda ACS</t>
  </si>
  <si>
    <t>Demanda vivienda</t>
  </si>
  <si>
    <r>
      <t>(kWh/m</t>
    </r>
    <r>
      <rPr>
        <b/>
        <vertAlign val="superscript"/>
        <sz val="10"/>
        <rFont val="Arial"/>
        <family val="2"/>
      </rPr>
      <t>2</t>
    </r>
    <r>
      <rPr>
        <b/>
        <sz val="10"/>
        <rFont val="Arial"/>
        <family val="2"/>
      </rPr>
      <t xml:space="preserve"> año)</t>
    </r>
  </si>
  <si>
    <r>
      <t>(kWh/ m</t>
    </r>
    <r>
      <rPr>
        <b/>
        <vertAlign val="superscript"/>
        <sz val="10"/>
        <rFont val="Arial"/>
        <family val="2"/>
      </rPr>
      <t>2</t>
    </r>
    <r>
      <rPr>
        <b/>
        <sz val="10"/>
        <rFont val="Arial"/>
        <family val="2"/>
      </rPr>
      <t xml:space="preserve"> año)</t>
    </r>
  </si>
  <si>
    <t>Demanda Iluminación</t>
  </si>
  <si>
    <t>Consumo Energético</t>
  </si>
  <si>
    <t>ACS</t>
  </si>
  <si>
    <t>Ubicación del proyecto</t>
  </si>
  <si>
    <t>Zona 1</t>
  </si>
  <si>
    <t>Zona 2</t>
  </si>
  <si>
    <t>Zona 3</t>
  </si>
  <si>
    <t>Zona 4</t>
  </si>
  <si>
    <t>Zona 5</t>
  </si>
  <si>
    <t>Zona 6</t>
  </si>
  <si>
    <t>Zona 7</t>
  </si>
  <si>
    <t>Radiación solar</t>
  </si>
  <si>
    <t>a</t>
  </si>
  <si>
    <t>b</t>
  </si>
  <si>
    <t>c</t>
  </si>
  <si>
    <t>d</t>
  </si>
  <si>
    <t>Demanda anual por zona</t>
  </si>
  <si>
    <t>Av/Apiso</t>
  </si>
  <si>
    <t>Fv</t>
  </si>
  <si>
    <t>Ilumn Exterior necesaria</t>
  </si>
  <si>
    <t>[-]</t>
  </si>
  <si>
    <t>[Lux]</t>
  </si>
  <si>
    <t>Horas de iluminación natural al año</t>
  </si>
  <si>
    <t>Horas de iluminación natural</t>
  </si>
  <si>
    <t>Mayor a 9000 Lux</t>
  </si>
  <si>
    <t>Menor a 9000 lux</t>
  </si>
  <si>
    <t>A</t>
  </si>
  <si>
    <t>B</t>
  </si>
  <si>
    <t>C</t>
  </si>
  <si>
    <t>D</t>
  </si>
  <si>
    <t>E</t>
  </si>
  <si>
    <t>[h]</t>
  </si>
  <si>
    <t>Sistema por defecto - No se disponde de sistema de calefacción</t>
  </si>
  <si>
    <t>Sistema de calefacción</t>
  </si>
  <si>
    <t>Rendimiento de generación</t>
  </si>
  <si>
    <t>Rendimiento de distribución</t>
  </si>
  <si>
    <t>Rendimiento de control</t>
  </si>
  <si>
    <t>Opción descriptiva con valores por defecto</t>
  </si>
  <si>
    <t>Opción particular (en base a certificado de ensayo)</t>
  </si>
  <si>
    <t>Rendimiento del sistema completo</t>
  </si>
  <si>
    <t>Rendimiento de generación (dejar valor cero "0" si no presenta certificado)</t>
  </si>
  <si>
    <t>Sistema de Calefacción</t>
  </si>
  <si>
    <t>Rendimientos</t>
  </si>
  <si>
    <t>Sistema unitario autocontenido</t>
  </si>
  <si>
    <t>Edificio con sistema centralizado</t>
  </si>
  <si>
    <t>Tipo de combustible utilizado en el sistema de calefacción</t>
  </si>
  <si>
    <t>Tipo de combustible a utilizar</t>
  </si>
  <si>
    <t>Electricidad</t>
  </si>
  <si>
    <t>Petroleo</t>
  </si>
  <si>
    <t>Gas natural</t>
  </si>
  <si>
    <t>Gas licuado</t>
  </si>
  <si>
    <t>Kerosene domestico</t>
  </si>
  <si>
    <t>FEP</t>
  </si>
  <si>
    <t>Leña</t>
  </si>
  <si>
    <t>Pellets de madera</t>
  </si>
  <si>
    <t>Carbon</t>
  </si>
  <si>
    <t>Sistema de agua caliente sanitaria</t>
  </si>
  <si>
    <t>Sistema de control por potencia</t>
  </si>
  <si>
    <t>Control automatico basado en la medición de la temperatura del agua</t>
  </si>
  <si>
    <t>Consumo total de energía en la vivienda</t>
  </si>
  <si>
    <t>Consumo de energía en calefacción</t>
  </si>
  <si>
    <t>Consumo de energia en agua caliente sanitaria</t>
  </si>
  <si>
    <t>Consumo de energía en iluminación</t>
  </si>
  <si>
    <t>Consumo total de energía</t>
  </si>
  <si>
    <t>kWh/m2 año</t>
  </si>
  <si>
    <t>kWh/año</t>
  </si>
  <si>
    <t>Sistema de iluminación</t>
  </si>
  <si>
    <t>Aporte por sistema de generación electrica por celdas fotovoltaicas</t>
  </si>
  <si>
    <t>Consumo de energía primaria</t>
  </si>
  <si>
    <t>Generación de CO2 equivalente</t>
  </si>
  <si>
    <t>Edificio de referencia</t>
  </si>
  <si>
    <t>Resistencia minima de los muros</t>
  </si>
  <si>
    <t>Rmuro</t>
  </si>
  <si>
    <t>Rpiso</t>
  </si>
  <si>
    <t>%Ventana</t>
  </si>
  <si>
    <t>U techo</t>
  </si>
  <si>
    <t>Piso 1 radier</t>
  </si>
  <si>
    <t>Piso 2 radier</t>
  </si>
  <si>
    <t>Ref</t>
  </si>
  <si>
    <t>Rendimiento global</t>
  </si>
  <si>
    <t>% Ref</t>
  </si>
  <si>
    <t>% de demanda de referencia</t>
  </si>
  <si>
    <t>Indicadores principales</t>
  </si>
  <si>
    <t>Consumo de energía en la vivienda</t>
  </si>
  <si>
    <t>Valor %</t>
  </si>
  <si>
    <t>Calificación</t>
  </si>
  <si>
    <t>Valores de la certificación</t>
  </si>
  <si>
    <t>Demanda</t>
  </si>
  <si>
    <t>F</t>
  </si>
  <si>
    <t>G</t>
  </si>
  <si>
    <t>Valor energía</t>
  </si>
  <si>
    <t>Perdidas por construcción (Qperif)</t>
  </si>
  <si>
    <t>Ganancias internas (Qin)</t>
  </si>
  <si>
    <t>Ganancia solar total (Qsol)</t>
  </si>
  <si>
    <t>Ganancia total (Qgan)</t>
  </si>
  <si>
    <t>(kWh/ m2 año)</t>
  </si>
  <si>
    <t>(kWh/m2 año)</t>
  </si>
  <si>
    <t>Umax [W/Km2]</t>
  </si>
  <si>
    <t>Indicador de demanda (Calefacción + Iluminación)</t>
  </si>
  <si>
    <t>Identificación del proyecto:</t>
  </si>
  <si>
    <t>Nombre del proyecto</t>
  </si>
  <si>
    <t>Dirección</t>
  </si>
  <si>
    <t xml:space="preserve">Nombre de asesor energético </t>
  </si>
  <si>
    <t>Modificacion</t>
  </si>
  <si>
    <t>Version</t>
  </si>
  <si>
    <t>Fecha</t>
  </si>
  <si>
    <t>Factor</t>
  </si>
  <si>
    <t>FA</t>
  </si>
  <si>
    <t>Perimetro (m)</t>
  </si>
  <si>
    <t>kt (W/Km)</t>
  </si>
  <si>
    <t>Pkt(W/K)</t>
  </si>
  <si>
    <t>Pérdidas ∑AˣU + Pkt</t>
  </si>
  <si>
    <t>Puentes térmicos (HPT)</t>
  </si>
  <si>
    <t>FS</t>
  </si>
  <si>
    <t>FM</t>
  </si>
  <si>
    <t>Rendimiento general</t>
  </si>
  <si>
    <t>Corrección por distribución</t>
  </si>
  <si>
    <t>Corrección por control</t>
  </si>
  <si>
    <t>[%]</t>
  </si>
  <si>
    <t>Sistema por defecto - No se dispone de sistema de ACS</t>
  </si>
  <si>
    <t>Generación por la calefacción</t>
  </si>
  <si>
    <t xml:space="preserve"> </t>
  </si>
  <si>
    <t>Generación por agua caliente sanitaria</t>
  </si>
  <si>
    <t>Genración por iluminación</t>
  </si>
  <si>
    <t>Total</t>
  </si>
  <si>
    <t>total</t>
  </si>
  <si>
    <t>kgCO2/kWh</t>
  </si>
  <si>
    <t>kgCO2/ año</t>
  </si>
  <si>
    <t>kgCO2/año</t>
  </si>
  <si>
    <t>Rendimientos generales</t>
  </si>
  <si>
    <t>Caldera a gas sin condensacion enecendido piloto control on/of</t>
  </si>
  <si>
    <t>Caldera a gas sin condensacion enecendido electrónico control on/of</t>
  </si>
  <si>
    <t>Caldera a gas sin condensacion enecendido piloto control modulado</t>
  </si>
  <si>
    <t>Caldera a gas sin condensacion enecendido electrónico control modulado</t>
  </si>
  <si>
    <t>Caldera a gas con condensacion enecendido electronico control modulado</t>
  </si>
  <si>
    <t>Caldera a petróleo</t>
  </si>
  <si>
    <t>Equipo localizado sin evacuacion de gases al exterior</t>
  </si>
  <si>
    <t>Equipo localizado a gas con evacuación de gases</t>
  </si>
  <si>
    <t>Calefactor localizado a leña</t>
  </si>
  <si>
    <t>Caldera a leña</t>
  </si>
  <si>
    <t>G x V</t>
  </si>
  <si>
    <t>Ganancias por equipos</t>
  </si>
  <si>
    <t>FA medio</t>
  </si>
  <si>
    <t>A total</t>
  </si>
  <si>
    <t>Area muro bruto</t>
  </si>
  <si>
    <t>%</t>
  </si>
  <si>
    <t>Ventanas</t>
  </si>
  <si>
    <t>Muro</t>
  </si>
  <si>
    <t>Piso 3+4+..</t>
  </si>
  <si>
    <t>Bomba de calor suelo - aire o suelo agua</t>
  </si>
  <si>
    <t xml:space="preserve">Boba de calor agua - agua o agua - aire </t>
  </si>
  <si>
    <t>Bomba de calor aire - agua o aire - aire</t>
  </si>
  <si>
    <t>Sistema de calentamiento de agua directo a gas</t>
  </si>
  <si>
    <t>Sistema de calentamiento de agua directo a electricidad</t>
  </si>
  <si>
    <t>Sistema de calentamiento de agua con estanque electrico</t>
  </si>
  <si>
    <t>Sistema de calentamiento de agua con bomba de calor  suelo - agua</t>
  </si>
  <si>
    <t>Sistema de calentamiento de agua con bomba de calor  agua - agua</t>
  </si>
  <si>
    <t>Sistema de calentamiento de agua con bomba de calor  aire - agua</t>
  </si>
  <si>
    <t>Demanda anual ACS</t>
  </si>
  <si>
    <t>Sistema de Certificación Termica de Viviendas de Chile</t>
  </si>
  <si>
    <t>Demanda calafacción + iluminación</t>
  </si>
  <si>
    <t>Demanda calefacción  + iluminacion</t>
  </si>
  <si>
    <t>Indice de Sobrecalentamiento</t>
  </si>
  <si>
    <t>Riesgos de sobrecalentamiento</t>
  </si>
  <si>
    <t>Ta verano</t>
  </si>
  <si>
    <t>T ver</t>
  </si>
  <si>
    <t>Ta max</t>
  </si>
  <si>
    <t>Tmaxe</t>
  </si>
  <si>
    <t>Demanda calefacción utilizando el programa CCTE</t>
  </si>
  <si>
    <t>Demanda de calefacción de la vivienda</t>
  </si>
  <si>
    <t>Demanda de calefacción</t>
  </si>
  <si>
    <t>Demanda calefacción calculado por el método simplificado</t>
  </si>
  <si>
    <t>Demanda calefacción a utilizar</t>
  </si>
  <si>
    <t>Demanda en calefacción a utilizar</t>
  </si>
  <si>
    <t>Demanda de calefacción del edificio de referencia</t>
  </si>
  <si>
    <r>
      <t>Renovaciones por hora (N</t>
    </r>
    <r>
      <rPr>
        <b/>
        <vertAlign val="subscript"/>
        <sz val="10"/>
        <rFont val="Arial"/>
        <family val="2"/>
      </rPr>
      <t>aire</t>
    </r>
    <r>
      <rPr>
        <b/>
        <sz val="10"/>
        <rFont val="Arial"/>
        <family val="2"/>
      </rPr>
      <t>)</t>
    </r>
  </si>
  <si>
    <r>
      <t>Pérdidas especificas por ventilación (Q</t>
    </r>
    <r>
      <rPr>
        <b/>
        <vertAlign val="subscript"/>
        <sz val="10"/>
        <rFont val="Arial"/>
        <family val="2"/>
      </rPr>
      <t>inf</t>
    </r>
    <r>
      <rPr>
        <b/>
        <sz val="10"/>
        <rFont val="Arial"/>
        <family val="2"/>
      </rPr>
      <t>)</t>
    </r>
  </si>
  <si>
    <r>
      <t>Aporte ganancias (DT</t>
    </r>
    <r>
      <rPr>
        <b/>
        <vertAlign val="superscript"/>
        <sz val="10"/>
        <rFont val="Arial"/>
        <family val="2"/>
      </rPr>
      <t>*</t>
    </r>
    <r>
      <rPr>
        <b/>
        <sz val="10"/>
        <rFont val="Arial"/>
        <family val="2"/>
      </rPr>
      <t>)</t>
    </r>
  </si>
  <si>
    <r>
      <t>Temperatura interior (T</t>
    </r>
    <r>
      <rPr>
        <b/>
        <vertAlign val="subscript"/>
        <sz val="10"/>
        <rFont val="Arial"/>
        <family val="2"/>
      </rPr>
      <t>int</t>
    </r>
    <r>
      <rPr>
        <b/>
        <sz val="10"/>
        <rFont val="Arial"/>
        <family val="2"/>
      </rPr>
      <t>)</t>
    </r>
  </si>
  <si>
    <r>
      <t>Temperatura base (T</t>
    </r>
    <r>
      <rPr>
        <b/>
        <vertAlign val="subscript"/>
        <sz val="10"/>
        <rFont val="Arial"/>
        <family val="2"/>
      </rPr>
      <t>b</t>
    </r>
    <r>
      <rPr>
        <b/>
        <sz val="10"/>
        <rFont val="Arial"/>
        <family val="2"/>
      </rPr>
      <t>)</t>
    </r>
  </si>
  <si>
    <r>
      <t>Grados dias (°D</t>
    </r>
    <r>
      <rPr>
        <b/>
        <vertAlign val="subscript"/>
        <sz val="10"/>
        <rFont val="Arial"/>
        <family val="2"/>
      </rPr>
      <t>Tb</t>
    </r>
    <r>
      <rPr>
        <b/>
        <sz val="10"/>
        <rFont val="Arial"/>
        <family val="2"/>
      </rPr>
      <t>)</t>
    </r>
  </si>
  <si>
    <t>Grados dia</t>
  </si>
  <si>
    <t>Térmica de baja eficiencia</t>
  </si>
  <si>
    <t>% Generación</t>
  </si>
  <si>
    <t>FEP promedio</t>
  </si>
  <si>
    <t>Demanda calefacción obtenida a través del método simplificado</t>
  </si>
  <si>
    <r>
      <t>Puentes térmicos (H</t>
    </r>
    <r>
      <rPr>
        <b/>
        <vertAlign val="subscript"/>
        <sz val="10"/>
        <rFont val="Arial"/>
        <family val="2"/>
      </rPr>
      <t>TB)</t>
    </r>
  </si>
  <si>
    <r>
      <t>Perdidas por construcción (Q</t>
    </r>
    <r>
      <rPr>
        <b/>
        <vertAlign val="subscript"/>
        <sz val="10"/>
        <rFont val="Arial"/>
        <family val="2"/>
      </rPr>
      <t>perif</t>
    </r>
    <r>
      <rPr>
        <b/>
        <sz val="10"/>
        <rFont val="Arial"/>
        <family val="2"/>
      </rPr>
      <t>)</t>
    </r>
  </si>
  <si>
    <r>
      <t>Ganancias internas (Q</t>
    </r>
    <r>
      <rPr>
        <b/>
        <vertAlign val="subscript"/>
        <sz val="10"/>
        <rFont val="Arial"/>
        <family val="2"/>
      </rPr>
      <t>in</t>
    </r>
    <r>
      <rPr>
        <b/>
        <sz val="10"/>
        <rFont val="Arial"/>
        <family val="2"/>
      </rPr>
      <t>)</t>
    </r>
  </si>
  <si>
    <r>
      <t>Ganancia solar total (Q</t>
    </r>
    <r>
      <rPr>
        <b/>
        <vertAlign val="subscript"/>
        <sz val="10"/>
        <rFont val="Arial"/>
        <family val="2"/>
      </rPr>
      <t>sol</t>
    </r>
    <r>
      <rPr>
        <b/>
        <sz val="10"/>
        <rFont val="Arial"/>
        <family val="2"/>
      </rPr>
      <t>)</t>
    </r>
  </si>
  <si>
    <r>
      <t>Ganancia total (Q</t>
    </r>
    <r>
      <rPr>
        <b/>
        <vertAlign val="subscript"/>
        <sz val="10"/>
        <rFont val="Arial"/>
        <family val="2"/>
      </rPr>
      <t>gan</t>
    </r>
    <r>
      <rPr>
        <b/>
        <sz val="10"/>
        <rFont val="Arial"/>
        <family val="2"/>
      </rPr>
      <t>)</t>
    </r>
  </si>
  <si>
    <t>Perímetro (m)</t>
  </si>
  <si>
    <t>Ganancias por iluminación</t>
  </si>
  <si>
    <t>Demanda energética (calefacción - Agua caliente sanitaria - iluminación)</t>
  </si>
  <si>
    <t>Total aporte energías renovables</t>
  </si>
  <si>
    <t>Consumo de energía en agua caliente sanitaria</t>
  </si>
  <si>
    <t>Hidroelétcrica</t>
  </si>
  <si>
    <t>Térmica de alta eficiencia</t>
  </si>
  <si>
    <t>FEP ponderado</t>
  </si>
  <si>
    <t>Indicador de energía primaria</t>
  </si>
  <si>
    <t>Zona</t>
  </si>
  <si>
    <t>Consumo</t>
  </si>
  <si>
    <t>8.- Indice de Sobrecalentamiento</t>
  </si>
  <si>
    <t>Tipo de colector:</t>
  </si>
  <si>
    <t>Parámetros generales del método de los grados día</t>
  </si>
  <si>
    <t>Sistema solar para calefacción</t>
  </si>
  <si>
    <t>Tipo de colector</t>
  </si>
  <si>
    <t>Tubos al vacio</t>
  </si>
  <si>
    <t>Plano</t>
  </si>
  <si>
    <t>A/A</t>
  </si>
  <si>
    <t>m2</t>
  </si>
  <si>
    <t>Area neta</t>
  </si>
  <si>
    <t>Tempertura del aire</t>
  </si>
  <si>
    <t>Ene</t>
  </si>
  <si>
    <t>Feb</t>
  </si>
  <si>
    <t>Mar</t>
  </si>
  <si>
    <t>Abr</t>
  </si>
  <si>
    <t>May</t>
  </si>
  <si>
    <t>Jun</t>
  </si>
  <si>
    <t>Jul</t>
  </si>
  <si>
    <t>Ago</t>
  </si>
  <si>
    <t>Sep</t>
  </si>
  <si>
    <t>Oct</t>
  </si>
  <si>
    <t>Nov</t>
  </si>
  <si>
    <t>Dic</t>
  </si>
  <si>
    <t>z1</t>
  </si>
  <si>
    <t>z2</t>
  </si>
  <si>
    <t>z3</t>
  </si>
  <si>
    <t>z4</t>
  </si>
  <si>
    <t>z5</t>
  </si>
  <si>
    <t>z6</t>
  </si>
  <si>
    <t>z7</t>
  </si>
  <si>
    <t>Mes</t>
  </si>
  <si>
    <t>n</t>
  </si>
  <si>
    <t>FRp/Fr</t>
  </si>
  <si>
    <t>Ta/Tan</t>
  </si>
  <si>
    <t>ropiso</t>
  </si>
  <si>
    <t>Lat</t>
  </si>
  <si>
    <t>Dec</t>
  </si>
  <si>
    <t>ws</t>
  </si>
  <si>
    <t>Zona selec</t>
  </si>
  <si>
    <t>Angulo de inclinacion de los colectores</t>
  </si>
  <si>
    <t>grados</t>
  </si>
  <si>
    <t>Ho</t>
  </si>
  <si>
    <t>kt</t>
  </si>
  <si>
    <t>Hd/H</t>
  </si>
  <si>
    <t>Hd</t>
  </si>
  <si>
    <t>Hb</t>
  </si>
  <si>
    <t>Delta</t>
  </si>
  <si>
    <t>wsp</t>
  </si>
  <si>
    <t>RB</t>
  </si>
  <si>
    <t>HT</t>
  </si>
  <si>
    <t>L[kWh/mes]</t>
  </si>
  <si>
    <t>J</t>
  </si>
  <si>
    <t>X</t>
  </si>
  <si>
    <t>Y</t>
  </si>
  <si>
    <t>Piso ventilado 1</t>
  </si>
  <si>
    <t>Piso ventilado 2</t>
  </si>
  <si>
    <t>Piso ventilado</t>
  </si>
  <si>
    <t>Piso en contacto con terreno 1</t>
  </si>
  <si>
    <t>Piso en contacto con terreno 2</t>
  </si>
  <si>
    <t>Vivienda unifamiliar con sistema centralizado</t>
  </si>
  <si>
    <t>Control manual</t>
  </si>
  <si>
    <t>Agua caiente Sanitaria</t>
  </si>
  <si>
    <t>Z1</t>
  </si>
  <si>
    <t>Z2</t>
  </si>
  <si>
    <t>Z3</t>
  </si>
  <si>
    <t>Z4</t>
  </si>
  <si>
    <t>Z5</t>
  </si>
  <si>
    <t>Z6</t>
  </si>
  <si>
    <t>Z7</t>
  </si>
  <si>
    <t>Tconsumo</t>
  </si>
  <si>
    <t>Tred</t>
  </si>
  <si>
    <t>kWh/m2 dia</t>
  </si>
  <si>
    <t>Qconsumo ACS</t>
  </si>
  <si>
    <t>Radiación solar en plano de colectores</t>
  </si>
  <si>
    <t>Q Calef</t>
  </si>
  <si>
    <t>Tipo de servicio</t>
  </si>
  <si>
    <t>Solo ACS</t>
  </si>
  <si>
    <t>ACS + Calefacción</t>
  </si>
  <si>
    <t>Qtotal</t>
  </si>
  <si>
    <t>% Qsol ACS</t>
  </si>
  <si>
    <t>% Q sol CALEF</t>
  </si>
  <si>
    <t>Porcentaje de aporte solar al ACS</t>
  </si>
  <si>
    <t>Porcentaje de aporte solar a la calefacción</t>
  </si>
  <si>
    <t>Qsol ACS</t>
  </si>
  <si>
    <t>Rendimiento óptico del colector</t>
  </si>
  <si>
    <t>Coeficiente de pérdidas térmicas</t>
  </si>
  <si>
    <t>Relación Area Neta / Area Bruta</t>
  </si>
  <si>
    <t>Propiedades del colector</t>
  </si>
  <si>
    <t>A modificar</t>
  </si>
  <si>
    <t>Por defecto</t>
  </si>
  <si>
    <t>A usar</t>
  </si>
  <si>
    <t>Total aporte energías renovables en calefacción</t>
  </si>
  <si>
    <t>Referencia</t>
  </si>
  <si>
    <t>Demanda de calefacción a utilizar en certificación</t>
  </si>
  <si>
    <t>Superfice total de colectores solares (bruta)</t>
  </si>
  <si>
    <t>Red de cañerias sin aislación</t>
  </si>
  <si>
    <t>Red de cañerias con aislación</t>
  </si>
  <si>
    <t>Corrección por estanque de almacenamiento (ver tabla en manuales)</t>
  </si>
  <si>
    <t>CE</t>
  </si>
  <si>
    <t>DE</t>
  </si>
  <si>
    <t>PACS</t>
  </si>
  <si>
    <t>Ren defecto</t>
  </si>
  <si>
    <t>Rend impuesto</t>
  </si>
  <si>
    <t>Rend a usar</t>
  </si>
  <si>
    <t>Rend dist</t>
  </si>
  <si>
    <t>Rend Tot</t>
  </si>
  <si>
    <t>Rend 2</t>
  </si>
  <si>
    <t xml:space="preserve">Factor de corrección por obstrucciones </t>
  </si>
  <si>
    <t>FCAzimut</t>
  </si>
  <si>
    <t>FCSombras</t>
  </si>
  <si>
    <t>Area neta de captadores fotovoltaicos</t>
  </si>
  <si>
    <t>Corrección por angulo de azimut</t>
  </si>
  <si>
    <t>Corrección por elementos de sombra</t>
  </si>
  <si>
    <t>[m2]</t>
  </si>
  <si>
    <t>[grados]</t>
  </si>
  <si>
    <t xml:space="preserve">Porcentaje de aporte solar </t>
  </si>
  <si>
    <t>Total aporte energías renovables en iluminación</t>
  </si>
  <si>
    <t>kgCO2/m2año</t>
  </si>
  <si>
    <t>Atributo</t>
  </si>
  <si>
    <t>Materialidad</t>
  </si>
  <si>
    <t>Ventilacion natural</t>
  </si>
  <si>
    <t xml:space="preserve">Ventanas </t>
  </si>
  <si>
    <t>Ganacias internas</t>
  </si>
  <si>
    <t>Aislación termica</t>
  </si>
  <si>
    <t>Valor del atributo</t>
  </si>
  <si>
    <t>Ponderación</t>
  </si>
  <si>
    <t>Valor total</t>
  </si>
  <si>
    <t>Valor del indicador</t>
  </si>
  <si>
    <t>Rol de la construcción:</t>
  </si>
  <si>
    <t>Opción general</t>
  </si>
  <si>
    <t>Tipo de energético a utilizar</t>
  </si>
  <si>
    <t>Aporte de colectores solares al sistema de calentamiento de agua sanitaria</t>
  </si>
  <si>
    <t>Rendimiento</t>
  </si>
  <si>
    <t>Eficiencia general delsistema</t>
  </si>
  <si>
    <t>Aporte solar maximo</t>
  </si>
  <si>
    <t>kwh año</t>
  </si>
  <si>
    <t>Consumo Energia Iluminación</t>
  </si>
  <si>
    <t>Aporte solar a considerar</t>
  </si>
  <si>
    <t>Resultados</t>
  </si>
  <si>
    <t>Indicadores secundarios</t>
  </si>
  <si>
    <t>Indicador de Consumo de Energia (Calefacción + Iluminación+ACS)</t>
  </si>
  <si>
    <t>Indicador de sobrecalentamiento</t>
  </si>
  <si>
    <t>Indicador de Aportes de energías renovables</t>
  </si>
  <si>
    <t>Calefacción</t>
  </si>
  <si>
    <t>tipo de consumo</t>
  </si>
  <si>
    <t>% de energia aportada</t>
  </si>
  <si>
    <t>Iluminación</t>
  </si>
  <si>
    <t>Agua Caliente Sanitaria</t>
  </si>
  <si>
    <t>Sistema solar para aporte en calefacción y agua caliente sanitaria</t>
  </si>
  <si>
    <t>Sobrecalentamiento</t>
  </si>
  <si>
    <t>Valor</t>
  </si>
  <si>
    <t>Potencia calefacción</t>
  </si>
  <si>
    <t>TEC</t>
  </si>
  <si>
    <t>kW</t>
  </si>
  <si>
    <t>Potencia referencial del sistema de calefacción</t>
  </si>
  <si>
    <t>Datos de temperatura del aire</t>
  </si>
  <si>
    <t>Clima seleccionado</t>
  </si>
  <si>
    <t>Perfil mensual de carga de calefacción (se considera el perfil fijo para la certificación)</t>
  </si>
  <si>
    <t>Zona elegida</t>
  </si>
  <si>
    <t>Demanda calefacción</t>
  </si>
  <si>
    <t>Carga calefacción</t>
  </si>
  <si>
    <t>Carga calefacción mes</t>
  </si>
  <si>
    <t>Elegido</t>
  </si>
  <si>
    <t>Ocupantes</t>
  </si>
  <si>
    <t>Q perdido</t>
  </si>
  <si>
    <t>Q abs</t>
  </si>
  <si>
    <t>f</t>
  </si>
  <si>
    <t>fp</t>
  </si>
  <si>
    <t>J/mes</t>
  </si>
  <si>
    <t>Qsol disp</t>
  </si>
  <si>
    <t>Q sol disp calefa</t>
  </si>
  <si>
    <t>FC ACS Prima</t>
  </si>
  <si>
    <t>% Qsol calefa</t>
  </si>
  <si>
    <t>Qsol/Qcalefa</t>
  </si>
  <si>
    <t>Q sol calefa</t>
  </si>
  <si>
    <t>Qsol/QACS</t>
  </si>
  <si>
    <t>CALEFA</t>
  </si>
  <si>
    <t>Qsol disp total</t>
  </si>
  <si>
    <t>Q sol total</t>
  </si>
  <si>
    <t>Rend sistema solar</t>
  </si>
  <si>
    <t>J/m2dia</t>
  </si>
  <si>
    <t>J/m2mes</t>
  </si>
  <si>
    <r>
      <t>(kWh/m</t>
    </r>
    <r>
      <rPr>
        <b/>
        <vertAlign val="superscript"/>
        <sz val="10"/>
        <rFont val="Arial"/>
        <family val="2"/>
      </rPr>
      <t>2</t>
    </r>
    <r>
      <rPr>
        <b/>
        <sz val="10"/>
        <rFont val="Arial"/>
        <family val="2"/>
      </rPr>
      <t>año)</t>
    </r>
  </si>
  <si>
    <t>Inclinacion colectores</t>
  </si>
  <si>
    <t>Tipo de certificado</t>
  </si>
  <si>
    <t>Rol:</t>
  </si>
  <si>
    <t>Ciudad:</t>
  </si>
  <si>
    <t>Comuna:</t>
  </si>
  <si>
    <t>Solicitado por:</t>
  </si>
  <si>
    <t>Fecha de emisión:</t>
  </si>
  <si>
    <t>Superficie interior útil:</t>
  </si>
  <si>
    <t>Válido hasta:</t>
  </si>
  <si>
    <t>Tipo de vivienda:</t>
  </si>
  <si>
    <t>INDICADOR DE DEMANDA DE ENERGIA</t>
  </si>
  <si>
    <t>INDICADOR DE CONSUMO DE ENERGIA PRIMARIA</t>
  </si>
  <si>
    <t>Mas eficiente</t>
  </si>
  <si>
    <t>Menos eficiente</t>
  </si>
  <si>
    <t>¿Dispone de un sistema de paneles fotovoltaicos para generar electricidad?</t>
  </si>
  <si>
    <t>Demanda de energía</t>
  </si>
  <si>
    <t>INDICADORES SECUNDARIOS</t>
  </si>
  <si>
    <t>-</t>
  </si>
  <si>
    <t>A:</t>
  </si>
  <si>
    <t>B:</t>
  </si>
  <si>
    <t>C:</t>
  </si>
  <si>
    <t>E:</t>
  </si>
  <si>
    <t>F:</t>
  </si>
  <si>
    <t>G:</t>
  </si>
  <si>
    <t>Indicador de consumo de energía</t>
  </si>
  <si>
    <t>% del caso base</t>
  </si>
  <si>
    <t>Valor del indicador:</t>
  </si>
  <si>
    <t>Dirección de la vivienda:</t>
  </si>
  <si>
    <t>Zona térmica:</t>
  </si>
  <si>
    <t>Superficie total de colectores solares (bruta)</t>
  </si>
  <si>
    <t>Angulo de inclinación de los colectores</t>
  </si>
  <si>
    <t>Eficiencia general del sistema</t>
  </si>
  <si>
    <t>Ganancias internas</t>
  </si>
  <si>
    <t>Aislación térmica</t>
  </si>
  <si>
    <t>Ventilación natural</t>
  </si>
  <si>
    <t>DESCRIPCION DE LA CERTIFICACION</t>
  </si>
  <si>
    <t xml:space="preserve">Asesor Energético: </t>
  </si>
  <si>
    <t>Comuna</t>
  </si>
  <si>
    <t>Muro principal</t>
  </si>
  <si>
    <t>Muro secundario</t>
  </si>
  <si>
    <t>Ventana principal</t>
  </si>
  <si>
    <t>Ventana secundaria</t>
  </si>
  <si>
    <t>Sistema de agua caliente</t>
  </si>
  <si>
    <t>REQUERIMIENTOS DE ENERGIA Y EMISIONES DE CO2</t>
  </si>
  <si>
    <t>Elemento</t>
  </si>
  <si>
    <t>Consumo de energía primaria [%]</t>
  </si>
  <si>
    <t>Consumo de energía   [%]</t>
  </si>
  <si>
    <t>Demanda de energía   [%]</t>
  </si>
  <si>
    <r>
      <t>Emisiones CO</t>
    </r>
    <r>
      <rPr>
        <b/>
        <vertAlign val="subscript"/>
        <sz val="10"/>
        <color indexed="9"/>
        <rFont val="Arial"/>
        <family val="2"/>
      </rPr>
      <t>2-E</t>
    </r>
  </si>
  <si>
    <r>
      <t>[kg/m</t>
    </r>
    <r>
      <rPr>
        <b/>
        <vertAlign val="superscript"/>
        <sz val="10"/>
        <color indexed="9"/>
        <rFont val="Arial"/>
        <family val="2"/>
      </rPr>
      <t>2</t>
    </r>
    <r>
      <rPr>
        <b/>
        <sz val="10"/>
        <color indexed="9"/>
        <rFont val="Arial"/>
        <family val="2"/>
      </rPr>
      <t xml:space="preserve"> año]</t>
    </r>
  </si>
  <si>
    <t>Piso</t>
  </si>
  <si>
    <t>Techo principal</t>
  </si>
  <si>
    <t>Techo secundario</t>
  </si>
  <si>
    <t>Vivienda</t>
  </si>
  <si>
    <t>Requerimiento O.G.U.C</t>
  </si>
  <si>
    <t>Aportes de energías renovables [%]</t>
  </si>
  <si>
    <r>
      <t>[W/m</t>
    </r>
    <r>
      <rPr>
        <b/>
        <vertAlign val="superscript"/>
        <sz val="10"/>
        <color indexed="9"/>
        <rFont val="Arial"/>
        <family val="2"/>
      </rPr>
      <t>2</t>
    </r>
    <r>
      <rPr>
        <b/>
        <sz val="10"/>
        <color indexed="9"/>
        <rFont val="Arial"/>
        <family val="2"/>
      </rPr>
      <t>C]</t>
    </r>
  </si>
  <si>
    <r>
      <t>m</t>
    </r>
    <r>
      <rPr>
        <vertAlign val="superscript"/>
        <sz val="10"/>
        <rFont val="Arial"/>
        <family val="2"/>
      </rPr>
      <t>2</t>
    </r>
  </si>
  <si>
    <r>
      <t>m</t>
    </r>
    <r>
      <rPr>
        <b/>
        <vertAlign val="superscript"/>
        <sz val="10"/>
        <color indexed="9"/>
        <rFont val="Arial"/>
        <family val="2"/>
      </rPr>
      <t>2</t>
    </r>
  </si>
  <si>
    <t>Descripción</t>
  </si>
  <si>
    <t>Sistema</t>
  </si>
  <si>
    <t>SISTEMAS</t>
  </si>
  <si>
    <t>ELEMENTOS DE LA ENVOLVENTE</t>
  </si>
  <si>
    <t>REQUERIMIENTOS ENERGETICOS DE REFERENCIA</t>
  </si>
  <si>
    <t>Valor menor es mejor</t>
  </si>
  <si>
    <t>Valor mayor es mejor</t>
  </si>
  <si>
    <t>Consumo de energía de referencia</t>
  </si>
  <si>
    <t>Casa aislada</t>
  </si>
  <si>
    <t>Csa pareada</t>
  </si>
  <si>
    <t>Departamento</t>
  </si>
  <si>
    <t>Seleccionado por zona</t>
  </si>
  <si>
    <t>ACERCA DE ESTE DOCUMENTO</t>
  </si>
  <si>
    <t>Asesor Energético:</t>
  </si>
  <si>
    <t>Número de registro:</t>
  </si>
  <si>
    <t>Nombre:</t>
  </si>
  <si>
    <t>Dirección:</t>
  </si>
  <si>
    <t>Fono:</t>
  </si>
  <si>
    <t>Página WEB:</t>
  </si>
  <si>
    <t>E-mail:</t>
  </si>
  <si>
    <t>ACERCA DE LOS INDICADORES</t>
  </si>
  <si>
    <t xml:space="preserve">      La calificación energética provee una medida de la eficiencia energética integral de la vivienda. Es calculada de acuerdo a la metodología nacional que toma en cuenta factores de aislación térmica, eficiencia de los sistemas de calefacción y agua caliente y tipo de combustible utilizado.</t>
  </si>
  <si>
    <t xml:space="preserve">      Los requerimientos energéticos se determinan para la superficie interior útil, entendida ésta como la superficie de la vivienda medida por el interior de ella, consideran sólo los espacios interiores, se excluyen muros, loggias, terrazas, etc. No concuerda con la superficie total de la vivienda.</t>
  </si>
  <si>
    <t xml:space="preserve">      No todas las viviendas son usadas de la misma forma, la calificación energética obtenida se realiza en base a condiciones de uso, funcionamiento y climáticas estándar y pueden ser diferentes a la forma en que realmente se use la vivienda; por tanto, el indicador no necesariamente reflejará el desempeño real de ésta.</t>
  </si>
  <si>
    <t xml:space="preserve">Número de registro público: </t>
  </si>
  <si>
    <t xml:space="preserve"> - </t>
  </si>
  <si>
    <t>Consumo Eprimaria</t>
  </si>
  <si>
    <t>calef</t>
  </si>
  <si>
    <t>ilum</t>
  </si>
  <si>
    <t>suma</t>
  </si>
  <si>
    <t>Porcentajes</t>
  </si>
  <si>
    <t>Versión:</t>
  </si>
  <si>
    <t>Características de la vivienda</t>
  </si>
  <si>
    <t>Transmitancia Térmica</t>
  </si>
  <si>
    <t>Institución Administradora</t>
  </si>
  <si>
    <t>Número del certificado:</t>
  </si>
  <si>
    <t>3: Máximo riesgo de sobrecalentamiento</t>
  </si>
  <si>
    <t>0: Sin riesgo de sobrecalentamiento</t>
  </si>
  <si>
    <t xml:space="preserve">Evaluador energético </t>
  </si>
  <si>
    <t>Orientación</t>
  </si>
  <si>
    <t>(kW)</t>
  </si>
  <si>
    <t>(-)</t>
  </si>
  <si>
    <t>(grados)</t>
  </si>
  <si>
    <t>(%)</t>
  </si>
  <si>
    <t>La certificación energética de la vivienda es un proceso voluntario y se realiza a través de dos etapas. La primera corresponde a una certificación provisoria, en base a planos y especificaciones técnicas del proyecto antes de su construcción, obteniendo así el “Certificado del Proyecto de Arquitectura”. La segunda corresponde a la certificación que se realiza una vez terminada la obra, se consideran las características reales de la vivienda, a través de una inspección técnica y revisión del proyecto final obteniendo así el certificado definitivo “Certificado Edificio Terminado”.</t>
  </si>
  <si>
    <t>La calificación energética de una vivienda en niveles desde A (de mayor eficiencia) al G (de menor eficiencia), es una estimación teórica y comparativa del comportamiento de la vivienda en relación a una referencia. Se realiza en base al procedimiento establecido en el “Manual de Certificación Energética de Viviendas”. Se determina para cada una de las variables consideradas: calefacción, calentamiento de agua sanitaria e iluminación; para condiciones estándar de funcionamiento, ocupación y climáticas. Por tanto, no representa el consumo real para un caso específico, y se utiliza a modo de comparación. El requerimiento energético real, dependerá de las condiciones específicas de operación de funcionamiento y climáticas entre otras.</t>
  </si>
  <si>
    <t>Este certificado es sólo informativo y sirve para comparar la eficiencia entre viviendas. No representa el requerimiento energético real de ella.</t>
  </si>
  <si>
    <t>El indicador de demanda de energía es medida comparativa respecto a una referencia, de la cantidad efectiva de energía utilizada por la vivienda en calefacción e iluminación. Está relacionada con la calidad del diseño de la vivienda y de los materiales utilizados, sin considerar la eficiencia del sistema de calefacción e iluminación y el tipo de combustible.</t>
  </si>
  <si>
    <t>El indicador de consumo de energía primaria es una medida comparativa, respecto a una referencia, del consumo total de energía utilizada por la vivienda en calefacción, iluminación y agua caliente sanitaria. Considera el diseño de la vivienda, la eficiencia de los sistemas y el tipo de energía utilizada considerando sus transformaciones y pérdidas desde su lugar de origen hasta el lugar de consumo  final.</t>
  </si>
  <si>
    <t>Los requerimientos de energía de las viviendas dependen de su orientación, de las condiciones de uso, de los sistemas, del aislamiento de la envolvente y de su exposición al exterior. Así, por ejemplo, un departamento al estar agrupado con otros, sólo una parte de él está expuesto al exterior, con lo que su requerimiento de energía será menor que una casa pareada con mayor nivel de exposición y mucho menor que una casa aislada que se encuentra completamente expuesta. Los valores corresponden a viviendas que cumplen exactamente con la reglamentación del 2007. Para viviendas mejor aisladas las diferencias entre ellas disminuyen.</t>
  </si>
  <si>
    <t>CERTIFICADO DE EFICIENCIA ENERGETICA (MARCHA BLANCA)</t>
  </si>
  <si>
    <t>Opcional</t>
  </si>
  <si>
    <t>Seleccionada por zona</t>
  </si>
  <si>
    <t>fp corr</t>
  </si>
  <si>
    <t>f cor</t>
  </si>
  <si>
    <t>Q sol dip cal corr</t>
  </si>
  <si>
    <t>Beta 01</t>
  </si>
  <si>
    <t>Version Oficial Inicial</t>
  </si>
  <si>
    <t>Beta 00</t>
  </si>
  <si>
    <t>22/01/2009</t>
  </si>
  <si>
    <t>Modificaciones menores de formato</t>
  </si>
  <si>
    <t>Se incluye opción para agregar radiacion solar por parte del usuario.</t>
  </si>
  <si>
    <t>Beta 02</t>
  </si>
  <si>
    <t>Se arregló error en superficie del area colectora</t>
  </si>
  <si>
    <t>Se arreglaron errores de formato menores</t>
  </si>
  <si>
    <t xml:space="preserve">Se agregaron consumos de referencia faltantes </t>
  </si>
  <si>
    <t>Se corrige errores en el indice de sobrecalentamiento</t>
  </si>
  <si>
    <t>Se elimino el caclulo de horas de iluminacion negativas</t>
  </si>
  <si>
    <t>25/02/209</t>
  </si>
  <si>
    <t xml:space="preserve">Total </t>
  </si>
  <si>
    <t>Seleccionar el tipo de cálculo</t>
  </si>
  <si>
    <t>Tipo de metodologia de cálculo a utilizar</t>
  </si>
  <si>
    <t>Temperatura de base</t>
  </si>
  <si>
    <t>C (porcentaje de la demanda de referencia)</t>
  </si>
  <si>
    <t>Tipo de energético utilizado en el sistema de calefacción</t>
  </si>
  <si>
    <t>Opción de definición de rendimiento del elemento principal en base a certificado de ensayo</t>
  </si>
  <si>
    <t>El cálculo se realiza en base a valores por defecto</t>
  </si>
  <si>
    <t>No</t>
  </si>
  <si>
    <t>Si</t>
  </si>
  <si>
    <t>Sistema fotovoltaico para aporte de iluminación</t>
  </si>
  <si>
    <t>Existencia de paneles fotovoltaicos</t>
  </si>
  <si>
    <t>1.- Características de la vivienda</t>
  </si>
  <si>
    <t>1.1.- Datos generales e identificación del proyecto</t>
  </si>
  <si>
    <t>Dispone de sista solar para calentar agua</t>
  </si>
  <si>
    <t>Area indicada planilla</t>
  </si>
  <si>
    <t>Existe sistema</t>
  </si>
  <si>
    <t>Factor multiplicador</t>
  </si>
  <si>
    <r>
      <t>Umax (W/Km</t>
    </r>
    <r>
      <rPr>
        <vertAlign val="superscript"/>
        <sz val="9"/>
        <rFont val="Arial"/>
        <family val="2"/>
      </rPr>
      <t>2</t>
    </r>
    <r>
      <rPr>
        <sz val="9"/>
        <rFont val="Arial"/>
        <family val="2"/>
      </rPr>
      <t>)</t>
    </r>
  </si>
  <si>
    <r>
      <t>(m</t>
    </r>
    <r>
      <rPr>
        <vertAlign val="superscript"/>
        <sz val="9"/>
        <rFont val="Arial"/>
        <family val="2"/>
      </rPr>
      <t>2)</t>
    </r>
  </si>
  <si>
    <t xml:space="preserve">Requerimientos de energía </t>
  </si>
  <si>
    <t>2.1.- Página 1</t>
  </si>
  <si>
    <t>Comentario eventual en el caso que no se evalúe la calefacción</t>
  </si>
  <si>
    <t xml:space="preserve">Aportes de energías renovables </t>
  </si>
  <si>
    <t>Requerimiento Energético de Arquitectura</t>
  </si>
  <si>
    <t>Comentario eventual en el caso que no se evalué la calefacción</t>
  </si>
  <si>
    <t>Iluminación exterior necesaria</t>
  </si>
  <si>
    <t>Umuro</t>
  </si>
  <si>
    <t>Upiso</t>
  </si>
  <si>
    <r>
      <t xml:space="preserve">1.2.- Descripción general de los elementos de la envolvente  </t>
    </r>
    <r>
      <rPr>
        <b/>
        <sz val="8"/>
        <rFont val="Arial"/>
        <family val="2"/>
      </rPr>
      <t>(esto sólo se utiliza en la confección del certificado)</t>
    </r>
  </si>
  <si>
    <t>2.- Dimensiones de la vivienda</t>
  </si>
  <si>
    <t>3.- Características térmicas de la envolvente</t>
  </si>
  <si>
    <t>3.1.- Area y coeficiente de transferencia de calor por elemento constructivo</t>
  </si>
  <si>
    <t>3.2.- Ventanas (sombreamiento y orientación)</t>
  </si>
  <si>
    <t>4.- Definición de la metodología a usar en cálculo de la demanda de calefacción</t>
  </si>
  <si>
    <t xml:space="preserve">6.- Definición de los equipos y sistemas </t>
  </si>
  <si>
    <t>6.1.- Sistema de calefacción</t>
  </si>
  <si>
    <t>6.2.- Sistema de agua caliente sanitaria</t>
  </si>
  <si>
    <t>6.3.-Sistema de iluminación</t>
  </si>
  <si>
    <t>( %)</t>
  </si>
  <si>
    <t xml:space="preserve">Comuna </t>
  </si>
  <si>
    <t>Tipo de vivienda</t>
  </si>
  <si>
    <r>
      <t>(kWh/ m</t>
    </r>
    <r>
      <rPr>
        <vertAlign val="superscript"/>
        <sz val="10"/>
        <rFont val="Arial"/>
        <family val="2"/>
      </rPr>
      <t>2</t>
    </r>
    <r>
      <rPr>
        <sz val="10"/>
        <rFont val="Arial"/>
        <family val="2"/>
      </rPr>
      <t xml:space="preserve"> año)</t>
    </r>
  </si>
  <si>
    <t>Fecha de emisión</t>
  </si>
  <si>
    <t>Fecha de vencimiento</t>
  </si>
  <si>
    <t>1.- Etiqueta</t>
  </si>
  <si>
    <t>Zona térmica</t>
  </si>
  <si>
    <t>Solicitado por</t>
  </si>
  <si>
    <t>Agua caliente sanitaria</t>
  </si>
  <si>
    <t>2.2.- Pagina 2</t>
  </si>
  <si>
    <t>Agua Caliente sanitaria</t>
  </si>
  <si>
    <t xml:space="preserve">superficie </t>
  </si>
  <si>
    <t>U del muro</t>
  </si>
  <si>
    <t>U del piso</t>
  </si>
  <si>
    <t>U del techo</t>
  </si>
  <si>
    <t>U de la ventana</t>
  </si>
  <si>
    <t>Descripción Sistema de Agua Caliente Sanitaria</t>
  </si>
  <si>
    <t>Descripción Sistema de Calefacción</t>
  </si>
  <si>
    <t>Area     (m²)</t>
  </si>
  <si>
    <t>4.1.- Demanda calefacción utilizando el programa CCTE</t>
  </si>
  <si>
    <t>Demanda de calefacción de la referencia</t>
  </si>
  <si>
    <t>Rendimiento general del equipo principal</t>
  </si>
  <si>
    <r>
      <t>(kWh/ m</t>
    </r>
    <r>
      <rPr>
        <b/>
        <vertAlign val="superscript"/>
        <sz val="9"/>
        <color indexed="9"/>
        <rFont val="Arial"/>
        <family val="2"/>
      </rPr>
      <t>2</t>
    </r>
    <r>
      <rPr>
        <b/>
        <sz val="9"/>
        <color indexed="9"/>
        <rFont val="Arial"/>
        <family val="2"/>
      </rPr>
      <t xml:space="preserve"> año)</t>
    </r>
  </si>
  <si>
    <t>Evaluador Energético</t>
  </si>
  <si>
    <t>Superficie interior útil</t>
  </si>
  <si>
    <t>Requerimientos de energía</t>
  </si>
  <si>
    <t>U máximo ordenanza</t>
  </si>
  <si>
    <t>Calificación energética de arquitectura</t>
  </si>
  <si>
    <t>Calificación energética de arquitectura + equipos + tipo de energético</t>
  </si>
  <si>
    <t>1.3.- Descripción general de los sistemas de calefacción y agua caliente sanitaria</t>
  </si>
  <si>
    <t>Grados Día a la temperatura base</t>
  </si>
  <si>
    <t>6.4.- Sistemas de captación de energías renovables no convencionales</t>
  </si>
  <si>
    <t>¿Dispone de un sistema de colectores solar - térmico?</t>
  </si>
  <si>
    <t>7.- Resultados del consumo de energía de la vivienda</t>
  </si>
  <si>
    <t>Aporte de energía solar a la calefacción</t>
  </si>
  <si>
    <t>Aporte de energía solar al agua caliente sanitaria</t>
  </si>
  <si>
    <t>Aporte de energía solar a la iluminación</t>
  </si>
  <si>
    <t>Consumo de energía primaria en calefacción</t>
  </si>
  <si>
    <t>Consumo de energía primaria en agua caliente sanitaria</t>
  </si>
  <si>
    <t>Consumo de energía primaria en iluminación</t>
  </si>
  <si>
    <t xml:space="preserve">Consumo total de energía primaria </t>
  </si>
  <si>
    <t>Auxiliar</t>
  </si>
  <si>
    <t>Vivienda Objeto</t>
  </si>
  <si>
    <t>Demanda de calefacción final a utilizar</t>
  </si>
  <si>
    <t>Rendimiento general del sistema de ACS</t>
  </si>
  <si>
    <t>Distribución del % de perdidas por la envolvente</t>
  </si>
  <si>
    <t>Muros</t>
  </si>
  <si>
    <t>Infiltraciones</t>
  </si>
  <si>
    <t>Resultados detallados</t>
  </si>
  <si>
    <t>Pérdidas por construcción (Qperif)</t>
  </si>
  <si>
    <t>Area total construida</t>
  </si>
  <si>
    <t>Volumen total de la vivienda</t>
  </si>
  <si>
    <t>Ganancia solar total</t>
  </si>
  <si>
    <t>Ganancia internas totales</t>
  </si>
  <si>
    <t>Aporte de las ganancias internas</t>
  </si>
  <si>
    <t>Temperatura interior</t>
  </si>
  <si>
    <t>Resultados generales de la demanda de calefacción</t>
  </si>
  <si>
    <t>Paneles solares fotovoltaicos</t>
  </si>
  <si>
    <t>Porcentaje de aporte solar a la iluminación</t>
  </si>
  <si>
    <t>Aporte solar a la calefacción</t>
  </si>
  <si>
    <t>Aporte solar al ACS</t>
  </si>
  <si>
    <t>Aporte solar a la iluminación</t>
  </si>
  <si>
    <t>Aporte solar en calefacción</t>
  </si>
  <si>
    <t>Aporte solar para ACS</t>
  </si>
  <si>
    <t>Aporte solar para iluminación</t>
  </si>
  <si>
    <t>Resumen consumos</t>
  </si>
  <si>
    <t>Generación por iluminación</t>
  </si>
  <si>
    <t>Area total de ventanas</t>
  </si>
  <si>
    <t>Ganancias térmicas</t>
  </si>
  <si>
    <t>Cálculo de los grados día a la temperatura base</t>
  </si>
  <si>
    <t>Grados días a la temperatura base</t>
  </si>
  <si>
    <t>Utilización del CCTE</t>
  </si>
  <si>
    <t>Demanda de energía en agua caliente sanitaria</t>
  </si>
  <si>
    <t>Demanda de energía en iluminación</t>
  </si>
  <si>
    <t>Coeficiente energético : C</t>
  </si>
  <si>
    <t>Aporte de los sistemas de energías renovables no convencionales</t>
  </si>
  <si>
    <t>Colectores solares térmicos</t>
  </si>
  <si>
    <t>Superficie total de paneles solares</t>
  </si>
  <si>
    <t>Consumos de energía</t>
  </si>
  <si>
    <t>Demanda de energía en calefacción</t>
  </si>
  <si>
    <t>Demanda de energía en calefacción menos aporte solar</t>
  </si>
  <si>
    <t>Rendimiento general del sistema de calefacción</t>
  </si>
  <si>
    <t>Demanda de energía en ACS</t>
  </si>
  <si>
    <t>Demanda de energía en ACS menos aporte solar</t>
  </si>
  <si>
    <t>Consumo de energía en ACS</t>
  </si>
  <si>
    <t>Consumo energía iluminación menos aporte solar</t>
  </si>
  <si>
    <t>RVM</t>
  </si>
  <si>
    <t>Demanda de referencia</t>
  </si>
  <si>
    <t>Valor minimo sobre el cual se calcula calefaccion</t>
  </si>
  <si>
    <t>Demanda de referecia</t>
  </si>
  <si>
    <t xml:space="preserve">Indicador de cálculo de demanda </t>
  </si>
  <si>
    <t>Demanda de calefacción considerando la demanda minima</t>
  </si>
  <si>
    <t>Demanda considerando un valor minimo de la referencia</t>
  </si>
  <si>
    <t>Demanda considerando el CCTE</t>
  </si>
  <si>
    <t>0 se calcula y 1 no se calcula</t>
  </si>
  <si>
    <t>Variable intermedia de cálculo</t>
  </si>
  <si>
    <t>Cálculos auxiliares</t>
  </si>
  <si>
    <t>Calculos auxiliares para definir el valor de la demanda en el certificado</t>
  </si>
  <si>
    <t>Demanda a poner en certificado</t>
  </si>
  <si>
    <t>Demanda calculada</t>
  </si>
  <si>
    <t>Zona 1 - A</t>
  </si>
  <si>
    <t>Zona 1- B</t>
  </si>
  <si>
    <t>Zona 2 - A</t>
  </si>
  <si>
    <t>Zona 2 - B</t>
  </si>
  <si>
    <t>Zona 3 - A</t>
  </si>
  <si>
    <t>Zona 4 - A</t>
  </si>
  <si>
    <t>Zona 5 - A</t>
  </si>
  <si>
    <t>Zona 6 - A</t>
  </si>
  <si>
    <t>Zona 7 - A</t>
  </si>
  <si>
    <t>Zona 3 - B</t>
  </si>
  <si>
    <t>Zona 4 - B</t>
  </si>
  <si>
    <t>Zona 5 - B</t>
  </si>
  <si>
    <t>Zona 6 - B</t>
  </si>
  <si>
    <t>Zona 7 - B</t>
  </si>
  <si>
    <t>Zona Numero</t>
  </si>
  <si>
    <t>Indice zona</t>
  </si>
  <si>
    <t>Zona num</t>
  </si>
  <si>
    <t>Al parecer esta parte no se usa finalmente</t>
  </si>
  <si>
    <t>idem</t>
  </si>
  <si>
    <t>Calama</t>
  </si>
  <si>
    <t>Idem</t>
  </si>
  <si>
    <t>Chillan</t>
  </si>
  <si>
    <t>Osorno</t>
  </si>
  <si>
    <t>Lonquimay</t>
  </si>
  <si>
    <t>Piso ventilado principal</t>
  </si>
  <si>
    <t>Piso ventilado princ.</t>
  </si>
  <si>
    <t>Lo Espejo</t>
  </si>
  <si>
    <t>Santiago</t>
  </si>
  <si>
    <t>Algarrobo</t>
  </si>
  <si>
    <t>Alhué</t>
  </si>
  <si>
    <t>Alto Biobío</t>
  </si>
  <si>
    <t>Alto del Carmen</t>
  </si>
  <si>
    <t>Alto Hospicio</t>
  </si>
  <si>
    <t>Ancud</t>
  </si>
  <si>
    <t>Andacollo</t>
  </si>
  <si>
    <t>Angol</t>
  </si>
  <si>
    <t>Antofagasta</t>
  </si>
  <si>
    <t>Antuco</t>
  </si>
  <si>
    <t>Arauco</t>
  </si>
  <si>
    <t>Arica</t>
  </si>
  <si>
    <t>Aysén</t>
  </si>
  <si>
    <t>Buin</t>
  </si>
  <si>
    <t>Bulnes</t>
  </si>
  <si>
    <t>Cabildo</t>
  </si>
  <si>
    <t>Cabo de Hornos</t>
  </si>
  <si>
    <t>Cabrero</t>
  </si>
  <si>
    <t>Calbuco</t>
  </si>
  <si>
    <t>Caldera</t>
  </si>
  <si>
    <t>Calera</t>
  </si>
  <si>
    <t>Calera de Tango</t>
  </si>
  <si>
    <t>Calle Larga</t>
  </si>
  <si>
    <t>Camarones</t>
  </si>
  <si>
    <t>Camiña</t>
  </si>
  <si>
    <t>Canela</t>
  </si>
  <si>
    <t>Cañete</t>
  </si>
  <si>
    <t>Carahue</t>
  </si>
  <si>
    <t>Cartagena</t>
  </si>
  <si>
    <t>Casablanca</t>
  </si>
  <si>
    <t>Castro</t>
  </si>
  <si>
    <t>Catemu</t>
  </si>
  <si>
    <t>Cauquenes</t>
  </si>
  <si>
    <t>Cerrillos</t>
  </si>
  <si>
    <t>Cerro Navia</t>
  </si>
  <si>
    <t>Chaitén</t>
  </si>
  <si>
    <t>Chanco</t>
  </si>
  <si>
    <t>Chañaral</t>
  </si>
  <si>
    <t>Chépica</t>
  </si>
  <si>
    <t>Chiguayante</t>
  </si>
  <si>
    <t>Chile Chico</t>
  </si>
  <si>
    <t>Chillán</t>
  </si>
  <si>
    <t>Chillán Viejo</t>
  </si>
  <si>
    <t>Chimbarongo</t>
  </si>
  <si>
    <t>Cholchol</t>
  </si>
  <si>
    <t>Chonchi</t>
  </si>
  <si>
    <t>Cisnes</t>
  </si>
  <si>
    <t>Cobquecura</t>
  </si>
  <si>
    <t>Cochamó</t>
  </si>
  <si>
    <t>Cochrane</t>
  </si>
  <si>
    <t>Codegua</t>
  </si>
  <si>
    <t>Coelemu</t>
  </si>
  <si>
    <t>Coihueco</t>
  </si>
  <si>
    <t>Coinco</t>
  </si>
  <si>
    <t>Colbún</t>
  </si>
  <si>
    <t>Colchane</t>
  </si>
  <si>
    <t>Colina</t>
  </si>
  <si>
    <t>Collipulli</t>
  </si>
  <si>
    <t>Coltauco</t>
  </si>
  <si>
    <t>Combarbalá</t>
  </si>
  <si>
    <t>Concepción</t>
  </si>
  <si>
    <t>Conchalí</t>
  </si>
  <si>
    <t>Concón</t>
  </si>
  <si>
    <t>Constitución</t>
  </si>
  <si>
    <t>Contulmo</t>
  </si>
  <si>
    <t>Copiapó</t>
  </si>
  <si>
    <t>Coquimbo</t>
  </si>
  <si>
    <t>Coronel</t>
  </si>
  <si>
    <t>Corral</t>
  </si>
  <si>
    <t>Coyhaique</t>
  </si>
  <si>
    <t>Cunco</t>
  </si>
  <si>
    <t>Curacautín</t>
  </si>
  <si>
    <t>Curacaví</t>
  </si>
  <si>
    <t>Curaco de Vélez</t>
  </si>
  <si>
    <t>Curanilahue</t>
  </si>
  <si>
    <t>Curarrehue</t>
  </si>
  <si>
    <t>Curepto</t>
  </si>
  <si>
    <t>Curicó</t>
  </si>
  <si>
    <t>Dalcahue</t>
  </si>
  <si>
    <t>Diego de Almagro</t>
  </si>
  <si>
    <t>Doñihue</t>
  </si>
  <si>
    <t>El Bosque</t>
  </si>
  <si>
    <t>El Carmen</t>
  </si>
  <si>
    <t>El Monte</t>
  </si>
  <si>
    <t>El Quisco</t>
  </si>
  <si>
    <t>El Tabo</t>
  </si>
  <si>
    <t>Empedrado</t>
  </si>
  <si>
    <t>Ercilla</t>
  </si>
  <si>
    <t>Estación Central</t>
  </si>
  <si>
    <t>Florida</t>
  </si>
  <si>
    <t>Freire</t>
  </si>
  <si>
    <t>Freirina</t>
  </si>
  <si>
    <t>Fresia</t>
  </si>
  <si>
    <t>Frutillar</t>
  </si>
  <si>
    <t>Futaleufú</t>
  </si>
  <si>
    <t>Futrono</t>
  </si>
  <si>
    <t>Galvarino</t>
  </si>
  <si>
    <t>General Lagos</t>
  </si>
  <si>
    <t>Gorbea</t>
  </si>
  <si>
    <t>Graneros</t>
  </si>
  <si>
    <t>Guaitecas</t>
  </si>
  <si>
    <t>Hijuelas</t>
  </si>
  <si>
    <t>Hualaihué</t>
  </si>
  <si>
    <t>Hualañé</t>
  </si>
  <si>
    <t>Hualpén</t>
  </si>
  <si>
    <t>Hualqui</t>
  </si>
  <si>
    <t>Huara</t>
  </si>
  <si>
    <t>Huasco</t>
  </si>
  <si>
    <t>Huechuraba</t>
  </si>
  <si>
    <t>Illapel</t>
  </si>
  <si>
    <t>Independencia</t>
  </si>
  <si>
    <t>Iquique</t>
  </si>
  <si>
    <t>Isla de Maipo</t>
  </si>
  <si>
    <t>Isla de Pascua</t>
  </si>
  <si>
    <t>Juan Fernández</t>
  </si>
  <si>
    <t>La Cisterna</t>
  </si>
  <si>
    <t>La Cruz</t>
  </si>
  <si>
    <t>La Estrella</t>
  </si>
  <si>
    <t>La Florida</t>
  </si>
  <si>
    <t>La Granja</t>
  </si>
  <si>
    <t>La Higuera</t>
  </si>
  <si>
    <t>La Ligua</t>
  </si>
  <si>
    <t>La Pintana</t>
  </si>
  <si>
    <t>La Reina</t>
  </si>
  <si>
    <t>La Serena</t>
  </si>
  <si>
    <t>La Unión</t>
  </si>
  <si>
    <t>Lago Ranco</t>
  </si>
  <si>
    <t>Lago Verde</t>
  </si>
  <si>
    <t>Cálculo Estático de la Demanda</t>
  </si>
  <si>
    <t>Cálculo Dinámico de la Demanda (CCTE)</t>
  </si>
  <si>
    <t>Requerimientos de Energía Primaria</t>
  </si>
  <si>
    <r>
      <t>(KgCO2/m</t>
    </r>
    <r>
      <rPr>
        <vertAlign val="superscript"/>
        <sz val="10"/>
        <rFont val="Arial"/>
        <family val="2"/>
      </rPr>
      <t>2</t>
    </r>
    <r>
      <rPr>
        <sz val="10"/>
        <rFont val="Arial"/>
        <family val="2"/>
      </rPr>
      <t xml:space="preserve"> año)</t>
    </r>
  </si>
  <si>
    <r>
      <t>(m</t>
    </r>
    <r>
      <rPr>
        <vertAlign val="superscript"/>
        <sz val="10"/>
        <rFont val="Arial"/>
        <family val="2"/>
      </rPr>
      <t>2</t>
    </r>
    <r>
      <rPr>
        <sz val="10"/>
        <rFont val="Arial"/>
        <family val="2"/>
      </rPr>
      <t>)</t>
    </r>
  </si>
  <si>
    <r>
      <t>(W/Km</t>
    </r>
    <r>
      <rPr>
        <vertAlign val="superscript"/>
        <sz val="10"/>
        <rFont val="Arial"/>
        <family val="2"/>
      </rPr>
      <t>2</t>
    </r>
    <r>
      <rPr>
        <sz val="10"/>
        <rFont val="Arial"/>
        <family val="2"/>
      </rPr>
      <t>)</t>
    </r>
  </si>
  <si>
    <r>
      <t>(m</t>
    </r>
    <r>
      <rPr>
        <vertAlign val="superscript"/>
        <sz val="10"/>
        <rFont val="Arial"/>
        <family val="2"/>
      </rPr>
      <t>2</t>
    </r>
    <r>
      <rPr>
        <sz val="10"/>
        <rFont val="Arial"/>
        <family val="2"/>
      </rPr>
      <t>)</t>
    </r>
  </si>
  <si>
    <r>
      <t>(m</t>
    </r>
    <r>
      <rPr>
        <vertAlign val="superscript"/>
        <sz val="10"/>
        <rFont val="Arial"/>
        <family val="2"/>
      </rPr>
      <t>3</t>
    </r>
    <r>
      <rPr>
        <sz val="10"/>
        <rFont val="Arial"/>
        <family val="2"/>
      </rPr>
      <t>)</t>
    </r>
  </si>
  <si>
    <r>
      <t>kgCO</t>
    </r>
    <r>
      <rPr>
        <vertAlign val="subscript"/>
        <sz val="10"/>
        <rFont val="Arial"/>
        <family val="2"/>
      </rPr>
      <t>2</t>
    </r>
    <r>
      <rPr>
        <sz val="10"/>
        <rFont val="Arial"/>
        <family val="2"/>
      </rPr>
      <t>/ año</t>
    </r>
  </si>
  <si>
    <t>kl (W/Km)</t>
  </si>
  <si>
    <t>( ºC )</t>
  </si>
  <si>
    <t>Laguna Blanca</t>
  </si>
  <si>
    <t>Región</t>
  </si>
  <si>
    <t>Identificación de la vivienda a evaluar</t>
  </si>
  <si>
    <t>Tipo de Calificación</t>
  </si>
  <si>
    <t>Calificación Energética</t>
  </si>
  <si>
    <t>Pre Calificación Energética</t>
  </si>
  <si>
    <t>Rol registro de Evaluadores:</t>
  </si>
  <si>
    <t>Fecha de vencimiento:</t>
  </si>
  <si>
    <t>Informe de Evaluación Nº:</t>
  </si>
  <si>
    <t>Demanda de Iluminación</t>
  </si>
  <si>
    <t>Rol vivienda</t>
  </si>
  <si>
    <t>Ahorro de energía</t>
  </si>
  <si>
    <t>Informe de evaluación Nº</t>
  </si>
  <si>
    <t>Versión del procedimiento oficial de calificación energética</t>
  </si>
  <si>
    <t>CALIFICACIÓN ENERGETICA DE VIVIENDAS EN CHILE</t>
  </si>
  <si>
    <t>Programa de cálculo para la calificación.</t>
  </si>
  <si>
    <t>2.- Informe de Evaluación</t>
  </si>
  <si>
    <t>Tipo de calificación</t>
  </si>
  <si>
    <t>Título del Informe</t>
  </si>
  <si>
    <t>Rol Vivienda</t>
  </si>
  <si>
    <t>Informe de Evaluación Nº</t>
  </si>
  <si>
    <t>Nombre del Informe</t>
  </si>
  <si>
    <t>Rol Registro de Consultores Minvu</t>
  </si>
  <si>
    <t>Ahorro de Energía</t>
  </si>
  <si>
    <t>RUT</t>
  </si>
  <si>
    <t>RUT Evaluador</t>
  </si>
  <si>
    <t>RUT Mandante</t>
  </si>
  <si>
    <t>Rut Evaluador</t>
  </si>
  <si>
    <t>FAR</t>
  </si>
  <si>
    <t>Valores de FAV1 para aleros superiores horizontales</t>
  </si>
  <si>
    <t>Orientaciones N - NE - NO</t>
  </si>
  <si>
    <t>H</t>
  </si>
  <si>
    <t>L/H</t>
  </si>
  <si>
    <t>D/H</t>
  </si>
  <si>
    <t>L</t>
  </si>
  <si>
    <t>X1</t>
  </si>
  <si>
    <t>Y2</t>
  </si>
  <si>
    <r>
      <t>FAV</t>
    </r>
    <r>
      <rPr>
        <vertAlign val="subscript"/>
        <sz val="11"/>
        <color theme="1"/>
        <rFont val="Calibri"/>
        <family val="2"/>
        <scheme val="minor"/>
      </rPr>
      <t>1</t>
    </r>
  </si>
  <si>
    <t>Y3</t>
  </si>
  <si>
    <t>Orientaciones S - SE - SO - E - O</t>
  </si>
  <si>
    <t>Consideraciones para aleros no perpendiculares.</t>
  </si>
  <si>
    <t>Caso 1</t>
  </si>
  <si>
    <t>Caso 2</t>
  </si>
  <si>
    <t>Caso 3</t>
  </si>
  <si>
    <r>
      <t>Valores de FAV</t>
    </r>
    <r>
      <rPr>
        <b/>
        <vertAlign val="subscript"/>
        <sz val="12"/>
        <color theme="3" tint="0.39994506668294322"/>
        <rFont val="Calibri"/>
        <family val="2"/>
        <scheme val="minor"/>
      </rPr>
      <t>2</t>
    </r>
    <r>
      <rPr>
        <b/>
        <sz val="12"/>
        <color theme="3" tint="0.39997558519241921"/>
        <rFont val="Calibri"/>
        <family val="2"/>
        <scheme val="minor"/>
      </rPr>
      <t xml:space="preserve"> para elementos de sombra verticales</t>
    </r>
  </si>
  <si>
    <t>Elemento del Lado Izquierdo</t>
  </si>
  <si>
    <t>W</t>
  </si>
  <si>
    <t>P/W</t>
  </si>
  <si>
    <t>P</t>
  </si>
  <si>
    <t>S/W</t>
  </si>
  <si>
    <t>X2</t>
  </si>
  <si>
    <t>Yiz</t>
  </si>
  <si>
    <t>X3</t>
  </si>
  <si>
    <t>X4</t>
  </si>
  <si>
    <t>Elemento del Lado derecho</t>
  </si>
  <si>
    <t>Yder</t>
  </si>
  <si>
    <r>
      <t>FAV</t>
    </r>
    <r>
      <rPr>
        <vertAlign val="subscript"/>
        <sz val="11"/>
        <color theme="1"/>
        <rFont val="Calibri"/>
        <family val="2"/>
        <scheme val="minor"/>
      </rPr>
      <t>2</t>
    </r>
  </si>
  <si>
    <r>
      <t>Valores de FAV</t>
    </r>
    <r>
      <rPr>
        <b/>
        <vertAlign val="subscript"/>
        <sz val="12"/>
        <color theme="3" tint="0.39994506668294322"/>
        <rFont val="Calibri"/>
        <family val="2"/>
        <scheme val="minor"/>
      </rPr>
      <t xml:space="preserve">3 </t>
    </r>
    <r>
      <rPr>
        <b/>
        <sz val="12"/>
        <color theme="3" tint="0.39997558519241921"/>
        <rFont val="Calibri"/>
        <family val="2"/>
        <scheme val="minor"/>
      </rPr>
      <t>para láminas sobre la ventana</t>
    </r>
  </si>
  <si>
    <t xml:space="preserve">Esta es solo una tabla. Hay que sacar los datos directamente </t>
  </si>
  <si>
    <t>Lamas Horizonatales</t>
  </si>
  <si>
    <t>Angulo de inclinación</t>
  </si>
  <si>
    <t>N - NE - NO</t>
  </si>
  <si>
    <t>S - SE - SO - E - O</t>
  </si>
  <si>
    <t>Lamas verticales</t>
  </si>
  <si>
    <t>Factor de Sombra para Lucernarios</t>
  </si>
  <si>
    <t>ß</t>
  </si>
  <si>
    <t>far</t>
  </si>
  <si>
    <t xml:space="preserve">Fecha </t>
  </si>
  <si>
    <t>Valor por defecto si no tiene calefacción</t>
  </si>
  <si>
    <t>Agregar una linea a elementos de selección de la linea 57</t>
  </si>
  <si>
    <t>En R2 A27 y B27 agregar lo que esta en fondo azul</t>
  </si>
  <si>
    <t>En R2 B24, agregar a la lista del rengo el valor de B 27</t>
  </si>
  <si>
    <t>Indicador del cáclulo de la demanda prima</t>
  </si>
  <si>
    <t xml:space="preserve">Sin corrección </t>
  </si>
  <si>
    <t>Sin sistema de calefacción</t>
  </si>
  <si>
    <t>Agregar una linea a elementos de selección de la linea 56</t>
  </si>
  <si>
    <t>En el elemnto de selección multiple de la linea 56 agregar un elemento y aumentar el rango hasta A27</t>
  </si>
  <si>
    <t>En el elemnto de selección multiple de la linea 57 agregar un elemento y aumentar el rango hasta A32</t>
  </si>
  <si>
    <t>En R2 32 y B32 agregar lo que esta en fondo azul</t>
  </si>
  <si>
    <t>En R2 B30, agregar a la lista del rengo el valor de B 32</t>
  </si>
  <si>
    <t>Ventana en el techo</t>
  </si>
  <si>
    <t>En CE_Chile C65 y C65 se cambio el texto</t>
  </si>
  <si>
    <t>En Vivienda Objeto borrar J-30</t>
  </si>
  <si>
    <t>Cambiar texto de celda CE Chile C-85</t>
  </si>
  <si>
    <t xml:space="preserve">Borrar formato condicinal de celda CE_Chile F64 </t>
  </si>
  <si>
    <t>Modificar el formato condicional de celda CE_Chile F-85 . Agregar en los dos casos la casilla F64</t>
  </si>
  <si>
    <t>Caldera a pellet</t>
  </si>
  <si>
    <t>Se agrega la caldera a pellet en la linea R2 A 15 y B15. en este caso no se cambia nada mas ya que estaba previsto agregar mas item e n el tiempo</t>
  </si>
  <si>
    <t>En la celda R2 D-4. Repara el texto de selección, debe ir de la B4 a la B22 incluyendo en orden los valores intermedios</t>
  </si>
  <si>
    <t>No tiene sistema de ACS</t>
  </si>
  <si>
    <t>Agregar texto en las casillas R2 A73 y B73</t>
  </si>
  <si>
    <t>Al control de  CE_Chile elementos 62 agregar un línea en el despliegue</t>
  </si>
  <si>
    <t>Sistema de calentamiento de agua con caldera</t>
  </si>
  <si>
    <t>Cambiar texto de celda R2 A-64</t>
  </si>
  <si>
    <t>Cambiar formula de celda Vivienda Objeto H-167</t>
  </si>
  <si>
    <t>Cambiar formula R4 D44 a 55 (284 en lugar de 289)</t>
  </si>
  <si>
    <t>Cambiar formula R5 D22 a D33 (284 en lugar de 289)</t>
  </si>
  <si>
    <t>Cambiar las celdas R4 O36 y O37</t>
  </si>
  <si>
    <t>Cambiar las celdas R5 T17</t>
  </si>
  <si>
    <t>Vista en planta</t>
  </si>
  <si>
    <t>Vista en Elevación</t>
  </si>
  <si>
    <t>L/D</t>
  </si>
  <si>
    <r>
      <t>FAR</t>
    </r>
    <r>
      <rPr>
        <sz val="8"/>
        <color theme="1"/>
        <rFont val="Calibri"/>
        <family val="2"/>
        <scheme val="minor"/>
      </rPr>
      <t>T</t>
    </r>
  </si>
  <si>
    <t>Cambio de los valores de las casillas R1 - B153 a B156</t>
  </si>
  <si>
    <r>
      <t xml:space="preserve">     La presente planilla  es la herramienta de cálculo del Sistema de Calificación Energética de Viviendas en Chile.
Se compone de 7 hojas; 
 - CE_Chile (Calificación Energética de Viviendas en Chile), Datos Informe y Etiqueta, Resultados Detallados, Notas 1, Notas 2 y Notas 3..
En la hoja CE_Chile se deben ingresar todos los datos para la calificación. La hoja Datos Informe y Etiqueta, genera la información ordenada y necesaria para la creación del Informe de Evaluación y Etiqueta de Eficiencia Energética. La hoja Resultados Detallados entrega información detallada para el análisis. Las hojas de Notas son para uso libre del usuario.   
La información e instrucciones para la utilización de esta planilla de cálculo se encuentra en el documento: Manual de Procedimientos del Sistema de Calificación Energética de Viviendas en Chile, el cual se puede obtener desde la página WEB del MINVU (www.minvu.cl).  </t>
    </r>
    <r>
      <rPr>
        <sz val="9"/>
        <rFont val="Arial"/>
        <family val="2"/>
      </rPr>
      <t xml:space="preserve">  </t>
    </r>
  </si>
  <si>
    <t>Cálculo del FAR por obstrucción</t>
  </si>
  <si>
    <t>Cálculo del FAR total</t>
  </si>
  <si>
    <t>48a</t>
  </si>
  <si>
    <t xml:space="preserve">5.- Resultados del cálculo de demanda calefacción + iluminación </t>
  </si>
  <si>
    <t xml:space="preserve">Cambios en celda R5 K-20, debe decir: J36+'Vivienda Objeto'!H213/57.3. Antes decia 67 en lugar de 57 </t>
  </si>
  <si>
    <t>Se cambió la celda R5 R de la 22 a la 33. La formula tenia un valor H$166 y deberia ser H$213</t>
  </si>
  <si>
    <t>lat</t>
  </si>
  <si>
    <t>inc</t>
  </si>
  <si>
    <t>gama</t>
  </si>
  <si>
    <t>hora</t>
  </si>
  <si>
    <t>Dia</t>
  </si>
  <si>
    <t>HS</t>
  </si>
  <si>
    <t>Rb'</t>
  </si>
  <si>
    <t>Alfa</t>
  </si>
  <si>
    <t>F1</t>
  </si>
  <si>
    <t>F2</t>
  </si>
  <si>
    <t>Rb</t>
  </si>
  <si>
    <t>Itot</t>
  </si>
  <si>
    <t>Pib</t>
  </si>
  <si>
    <t>Pid</t>
  </si>
  <si>
    <t>perfiles</t>
  </si>
  <si>
    <t>Enero</t>
  </si>
  <si>
    <t>febrero</t>
  </si>
  <si>
    <t>marzo</t>
  </si>
  <si>
    <t>abril</t>
  </si>
  <si>
    <t>mayo</t>
  </si>
  <si>
    <t>junio</t>
  </si>
  <si>
    <t>julio</t>
  </si>
  <si>
    <t>agosto</t>
  </si>
  <si>
    <t>sept</t>
  </si>
  <si>
    <t>oct</t>
  </si>
  <si>
    <t>nov</t>
  </si>
  <si>
    <t>dic</t>
  </si>
  <si>
    <t>a usar</t>
  </si>
  <si>
    <t>Factores</t>
  </si>
  <si>
    <t>M</t>
  </si>
  <si>
    <t>O</t>
  </si>
  <si>
    <t>Ht,h</t>
  </si>
  <si>
    <t>Ht,i</t>
  </si>
  <si>
    <t>Solar Fotovoltaico</t>
  </si>
  <si>
    <t>Solar Termico</t>
  </si>
  <si>
    <t>Se agregó la hoja R7 completa que mejora el calculo de la radiación incidente en superficies alejadas del valor óptimo.</t>
  </si>
  <si>
    <t>Radiación solar en plano de colectores - Válido solo para colectores orientados cerca del norte  (con modificación del 16 - 6 es valido para cualquier orientación)</t>
  </si>
  <si>
    <t>Todo lo que esta con fondo gris ya no se usa y deberia poder ser borrado</t>
  </si>
  <si>
    <t xml:space="preserve">En hoja R4 se hace el link con la hoja R7. En R4 se modifican los link de las celdas N44 a N53 </t>
  </si>
  <si>
    <t xml:space="preserve">En hoja R5 se hace el link con la hoja R7. En R5 se modifican los link de las celdas R22 a R33 </t>
  </si>
  <si>
    <t>se agregan notas en la hosar R4 y R5 en relacion a las celdas con fondo gris que ya no son utilizadas.</t>
  </si>
  <si>
    <t>Factor de Accesibilidad de la Ventana</t>
  </si>
  <si>
    <t>Factor de Accesibilidad Remota</t>
  </si>
  <si>
    <t>Ventana</t>
  </si>
  <si>
    <t xml:space="preserve">W-Ancho </t>
  </si>
  <si>
    <t>H-Alto</t>
  </si>
  <si>
    <t>Superficie</t>
  </si>
  <si>
    <t>FAV 1</t>
  </si>
  <si>
    <t>Lado</t>
  </si>
  <si>
    <t>FAV 2</t>
  </si>
  <si>
    <t>Ángulo</t>
  </si>
  <si>
    <t>FAV3</t>
  </si>
  <si>
    <t>FAV</t>
  </si>
  <si>
    <t>β</t>
  </si>
  <si>
    <t>iz</t>
  </si>
  <si>
    <t>der</t>
  </si>
  <si>
    <t>FAR Total Ventana</t>
  </si>
  <si>
    <t>FAV Total Orientación</t>
  </si>
  <si>
    <t>FAR Total Orientación</t>
  </si>
  <si>
    <t>FA total orientación</t>
  </si>
  <si>
    <t>Horizontal</t>
  </si>
  <si>
    <t>RM</t>
  </si>
  <si>
    <t>Se corrigió el efecto del factor de sombra tanto en la parte solar térmica como fotovoltaica.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</si>
</sst>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000"/>
    <numFmt numFmtId="168" formatCode="0.0E+00"/>
    <numFmt numFmtId="169" formatCode="0.0000"/>
    <numFmt numFmtId="170" formatCode="0.0%"/>
  </numFmts>
  <fonts count="89"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3"/>
      <name val="Arial"/>
      <family val="2"/>
    </font>
    <font>
      <b/>
      <vertAlign val="subscript"/>
      <sz val="10"/>
      <name val="Arial"/>
      <family val="2"/>
    </font>
    <font>
      <sz val="8"/>
      <name val="Arial"/>
      <family val="2"/>
    </font>
    <font>
      <sz val="10"/>
      <name val="Arial"/>
      <family val="2"/>
    </font>
    <font>
      <b/>
      <sz val="12"/>
      <name val="Arial"/>
      <family val="2"/>
    </font>
    <font>
      <sz val="10"/>
      <color indexed="81"/>
      <name val="Tahoma"/>
      <family val="2"/>
    </font>
    <font>
      <b/>
      <vertAlign val="superscript"/>
      <sz val="10"/>
      <name val="Arial"/>
      <family val="2"/>
    </font>
    <font>
      <b/>
      <sz val="10"/>
      <color indexed="9"/>
      <name val="Arial"/>
      <family val="2"/>
    </font>
    <font>
      <b/>
      <sz val="14"/>
      <color indexed="9"/>
      <name val="Arial"/>
      <family val="2"/>
    </font>
    <font>
      <b/>
      <sz val="10"/>
      <color indexed="81"/>
      <name val="Tahoma"/>
      <family val="2"/>
    </font>
    <font>
      <b/>
      <sz val="8"/>
      <color indexed="81"/>
      <name val="Tahoma"/>
      <family val="2"/>
    </font>
    <font>
      <sz val="8"/>
      <color indexed="81"/>
      <name val="Tahoma"/>
      <family val="2"/>
    </font>
    <font>
      <b/>
      <sz val="12"/>
      <color indexed="9"/>
      <name val="Arial"/>
      <family val="2"/>
    </font>
    <font>
      <b/>
      <sz val="9"/>
      <color indexed="9"/>
      <name val="Arial"/>
      <family val="2"/>
    </font>
    <font>
      <b/>
      <sz val="9"/>
      <name val="Arial"/>
      <family val="2"/>
    </font>
    <font>
      <b/>
      <sz val="8"/>
      <name val="Arial"/>
      <family val="2"/>
    </font>
    <font>
      <b/>
      <sz val="13"/>
      <color indexed="9"/>
      <name val="Arial"/>
      <family val="2"/>
    </font>
    <font>
      <sz val="10"/>
      <name val="Microsoft Sans Serif"/>
      <family val="2"/>
    </font>
    <font>
      <sz val="9"/>
      <name val="Microsoft Sans Serif"/>
      <family val="2"/>
    </font>
    <font>
      <b/>
      <sz val="8"/>
      <color indexed="10"/>
      <name val="Arial"/>
      <family val="2"/>
    </font>
    <font>
      <sz val="8"/>
      <name val="Arial"/>
      <family val="2"/>
    </font>
    <font>
      <sz val="10"/>
      <color indexed="8"/>
      <name val="Arial"/>
      <family val="2"/>
    </font>
    <font>
      <b/>
      <sz val="10"/>
      <name val="Arial"/>
      <family val="2"/>
    </font>
    <font>
      <sz val="10"/>
      <name val="Arial"/>
      <family val="2"/>
    </font>
    <font>
      <sz val="10"/>
      <color indexed="9"/>
      <name val="Arial"/>
      <family val="2"/>
    </font>
    <font>
      <sz val="10"/>
      <color indexed="9"/>
      <name val="Arial"/>
      <family val="2"/>
    </font>
    <font>
      <b/>
      <vertAlign val="subscript"/>
      <sz val="10"/>
      <color indexed="9"/>
      <name val="Arial"/>
      <family val="2"/>
    </font>
    <font>
      <b/>
      <vertAlign val="superscript"/>
      <sz val="10"/>
      <color indexed="9"/>
      <name val="Arial"/>
      <family val="2"/>
    </font>
    <font>
      <b/>
      <sz val="8"/>
      <color indexed="9"/>
      <name val="Arial"/>
      <family val="2"/>
    </font>
    <font>
      <b/>
      <sz val="7"/>
      <color indexed="9"/>
      <name val="Arial"/>
      <family val="2"/>
    </font>
    <font>
      <vertAlign val="superscript"/>
      <sz val="10"/>
      <name val="Arial"/>
      <family val="2"/>
    </font>
    <font>
      <sz val="7"/>
      <name val="Arial"/>
      <family val="2"/>
    </font>
    <font>
      <sz val="9"/>
      <name val="Arial"/>
      <family val="2"/>
    </font>
    <font>
      <sz val="9"/>
      <name val="Arial"/>
      <family val="2"/>
    </font>
    <font>
      <vertAlign val="superscript"/>
      <sz val="9"/>
      <name val="Arial"/>
      <family val="2"/>
    </font>
    <font>
      <b/>
      <sz val="15"/>
      <color indexed="9"/>
      <name val="Arial"/>
      <family val="2"/>
    </font>
    <font>
      <b/>
      <sz val="5"/>
      <name val="Arial"/>
      <family val="2"/>
    </font>
    <font>
      <sz val="8"/>
      <name val="Arial"/>
      <family val="2"/>
    </font>
    <font>
      <b/>
      <sz val="8"/>
      <color indexed="9"/>
      <name val="Arial"/>
      <family val="2"/>
    </font>
    <font>
      <b/>
      <sz val="8"/>
      <name val="Arial"/>
      <family val="2"/>
    </font>
    <font>
      <sz val="9"/>
      <name val="Arial"/>
      <family val="2"/>
    </font>
    <font>
      <sz val="5"/>
      <color indexed="9"/>
      <name val="Arial"/>
      <family val="2"/>
    </font>
    <font>
      <b/>
      <vertAlign val="superscript"/>
      <sz val="9"/>
      <color indexed="9"/>
      <name val="Arial"/>
      <family val="2"/>
    </font>
    <font>
      <sz val="9"/>
      <color indexed="9"/>
      <name val="Arial"/>
      <family val="2"/>
    </font>
    <font>
      <sz val="10"/>
      <color indexed="57"/>
      <name val="Arial"/>
      <family val="2"/>
    </font>
    <font>
      <b/>
      <sz val="13.5"/>
      <color indexed="9"/>
      <name val="Arial"/>
      <family val="2"/>
    </font>
    <font>
      <sz val="10"/>
      <color indexed="9"/>
      <name val="Arial"/>
      <family val="2"/>
    </font>
    <font>
      <sz val="10"/>
      <color indexed="17"/>
      <name val="Arial"/>
      <family val="2"/>
    </font>
    <font>
      <sz val="10"/>
      <color indexed="26"/>
      <name val="Arial"/>
      <family val="2"/>
    </font>
    <font>
      <vertAlign val="subscript"/>
      <sz val="10"/>
      <name val="Arial"/>
      <family val="2"/>
    </font>
    <font>
      <sz val="10"/>
      <color indexed="10"/>
      <name val="Arial"/>
      <family val="2"/>
    </font>
    <font>
      <sz val="6"/>
      <name val="Arial"/>
      <family val="2"/>
    </font>
    <font>
      <b/>
      <sz val="10"/>
      <color indexed="10"/>
      <name val="Arial"/>
      <family val="2"/>
    </font>
    <font>
      <sz val="9"/>
      <color indexed="10"/>
      <name val="Arial"/>
      <family val="2"/>
    </font>
    <font>
      <sz val="8"/>
      <color indexed="10"/>
      <name val="Arial"/>
      <family val="2"/>
    </font>
    <font>
      <sz val="14"/>
      <color indexed="9"/>
      <name val="Arial"/>
      <family val="2"/>
    </font>
    <font>
      <sz val="9"/>
      <color rgb="FFFF0000"/>
      <name val="Arial"/>
      <family val="2"/>
    </font>
    <font>
      <sz val="10"/>
      <color rgb="FFFF0000"/>
      <name val="Arial"/>
      <family val="2"/>
    </font>
    <font>
      <sz val="8"/>
      <color rgb="FFFF0000"/>
      <name val="Arial"/>
      <family val="2"/>
    </font>
    <font>
      <b/>
      <sz val="11"/>
      <color theme="1"/>
      <name val="Calibri"/>
      <family val="2"/>
      <scheme val="minor"/>
    </font>
    <font>
      <sz val="9"/>
      <color theme="1"/>
      <name val="Arial"/>
      <family val="2"/>
    </font>
    <font>
      <b/>
      <sz val="11"/>
      <color rgb="FFFF0000"/>
      <name val="Calibri"/>
      <family val="2"/>
      <scheme val="minor"/>
    </font>
    <font>
      <b/>
      <sz val="12"/>
      <color theme="3" tint="0.39997558519241921"/>
      <name val="Calibri"/>
      <family val="2"/>
      <scheme val="minor"/>
    </font>
    <font>
      <sz val="12"/>
      <color theme="1"/>
      <name val="Calibri"/>
      <family val="2"/>
      <scheme val="minor"/>
    </font>
    <font>
      <vertAlign val="subscript"/>
      <sz val="11"/>
      <color theme="1"/>
      <name val="Calibri"/>
      <family val="2"/>
      <scheme val="minor"/>
    </font>
    <font>
      <b/>
      <vertAlign val="subscript"/>
      <sz val="12"/>
      <color theme="3" tint="0.39994506668294322"/>
      <name val="Calibri"/>
      <family val="2"/>
      <scheme val="minor"/>
    </font>
    <font>
      <sz val="14"/>
      <color theme="1"/>
      <name val="Calibri"/>
      <family val="2"/>
      <scheme val="minor"/>
    </font>
    <font>
      <sz val="11"/>
      <color theme="0" tint="-0.249977111117893"/>
      <name val="Calibri"/>
      <family val="2"/>
      <scheme val="minor"/>
    </font>
    <font>
      <sz val="12"/>
      <color rgb="FFFF0000"/>
      <name val="Arial"/>
      <family val="2"/>
    </font>
    <font>
      <sz val="11"/>
      <color rgb="FFFF0000"/>
      <name val="Calibri"/>
      <family val="2"/>
      <scheme val="minor"/>
    </font>
    <font>
      <sz val="11"/>
      <color theme="1"/>
      <name val="Calibri"/>
      <family val="2"/>
    </font>
    <font>
      <sz val="9"/>
      <color rgb="FFFF0000"/>
      <name val="Calibri"/>
      <family val="2"/>
      <scheme val="minor"/>
    </font>
    <font>
      <sz val="11"/>
      <color theme="0"/>
      <name val="Calibri"/>
      <family val="2"/>
      <scheme val="minor"/>
    </font>
    <font>
      <sz val="10"/>
      <color rgb="FF0070C0"/>
      <name val="Arial"/>
      <family val="2"/>
    </font>
    <font>
      <sz val="8"/>
      <color theme="1"/>
      <name val="Calibri"/>
      <family val="2"/>
      <scheme val="minor"/>
    </font>
    <font>
      <b/>
      <sz val="16"/>
      <color theme="0"/>
      <name val="Arial"/>
      <family val="2"/>
    </font>
    <font>
      <sz val="10"/>
      <color theme="0"/>
      <name val="Arial"/>
      <family val="2"/>
    </font>
    <font>
      <b/>
      <sz val="12"/>
      <color theme="0"/>
      <name val="Arial"/>
      <family val="2"/>
    </font>
    <font>
      <b/>
      <sz val="8"/>
      <color theme="0"/>
      <name val="Arial"/>
      <family val="2"/>
    </font>
    <font>
      <u/>
      <sz val="10"/>
      <color theme="10"/>
      <name val="Arial"/>
      <family val="2"/>
    </font>
    <font>
      <u/>
      <sz val="10"/>
      <color theme="11"/>
      <name val="Arial"/>
      <family val="2"/>
    </font>
    <font>
      <b/>
      <sz val="10"/>
      <name val="Calibri"/>
      <family val="2"/>
    </font>
    <font>
      <sz val="11"/>
      <name val="Arial"/>
      <family val="2"/>
    </font>
    <font>
      <b/>
      <sz val="11"/>
      <name val="Arial"/>
      <family val="2"/>
    </font>
  </fonts>
  <fills count="26">
    <fill>
      <patternFill patternType="none"/>
    </fill>
    <fill>
      <patternFill patternType="gray125"/>
    </fill>
    <fill>
      <patternFill patternType="solid">
        <fgColor indexed="12"/>
        <bgColor indexed="64"/>
      </patternFill>
    </fill>
    <fill>
      <patternFill patternType="solid">
        <fgColor indexed="43"/>
        <bgColor indexed="64"/>
      </patternFill>
    </fill>
    <fill>
      <patternFill patternType="solid">
        <fgColor indexed="52"/>
        <bgColor indexed="64"/>
      </patternFill>
    </fill>
    <fill>
      <patternFill patternType="solid">
        <fgColor indexed="8"/>
        <bgColor indexed="64"/>
      </patternFill>
    </fill>
    <fill>
      <patternFill patternType="solid">
        <fgColor indexed="23"/>
        <bgColor indexed="64"/>
      </patternFill>
    </fill>
    <fill>
      <patternFill patternType="solid">
        <fgColor indexed="9"/>
        <bgColor indexed="64"/>
      </patternFill>
    </fill>
    <fill>
      <patternFill patternType="solid">
        <fgColor indexed="22"/>
        <bgColor indexed="64"/>
      </patternFill>
    </fill>
    <fill>
      <patternFill patternType="solid">
        <fgColor indexed="17"/>
        <bgColor indexed="64"/>
      </patternFill>
    </fill>
    <fill>
      <patternFill patternType="solid">
        <fgColor indexed="57"/>
        <bgColor indexed="64"/>
      </patternFill>
    </fill>
    <fill>
      <patternFill patternType="solid">
        <fgColor indexed="13"/>
        <bgColor indexed="64"/>
      </patternFill>
    </fill>
    <fill>
      <patternFill patternType="solid">
        <fgColor indexed="51"/>
        <bgColor indexed="64"/>
      </patternFill>
    </fill>
    <fill>
      <patternFill patternType="solid">
        <fgColor indexed="11"/>
        <bgColor indexed="64"/>
      </patternFill>
    </fill>
    <fill>
      <patternFill patternType="solid">
        <fgColor indexed="10"/>
        <bgColor indexed="64"/>
      </patternFill>
    </fill>
    <fill>
      <patternFill patternType="solid">
        <fgColor indexed="55"/>
        <bgColor indexed="64"/>
      </patternFill>
    </fill>
    <fill>
      <patternFill patternType="solid">
        <fgColor indexed="26"/>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0070C0"/>
        <bgColor indexed="64"/>
      </patternFill>
    </fill>
    <fill>
      <patternFill patternType="solid">
        <fgColor theme="4"/>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FF0000"/>
        <bgColor indexed="64"/>
      </patternFill>
    </fill>
  </fills>
  <borders count="76">
    <border>
      <left/>
      <right/>
      <top/>
      <bottom/>
      <diagonal/>
    </border>
    <border>
      <left style="thin">
        <color auto="1"/>
      </left>
      <right style="thin">
        <color auto="1"/>
      </right>
      <top style="thin">
        <color auto="1"/>
      </top>
      <bottom style="thin">
        <color auto="1"/>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bottom style="thin">
        <color auto="1"/>
      </bottom>
      <diagonal/>
    </border>
    <border>
      <left style="medium">
        <color auto="1"/>
      </left>
      <right style="medium">
        <color auto="1"/>
      </right>
      <top style="medium">
        <color auto="1"/>
      </top>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style="thin">
        <color auto="1"/>
      </top>
      <bottom/>
      <diagonal/>
    </border>
    <border>
      <left style="medium">
        <color auto="1"/>
      </left>
      <right style="medium">
        <color auto="1"/>
      </right>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top/>
      <bottom style="medium">
        <color auto="1"/>
      </bottom>
      <diagonal/>
    </border>
    <border>
      <left style="medium">
        <color auto="1"/>
      </left>
      <right style="thin">
        <color auto="1"/>
      </right>
      <top/>
      <bottom/>
      <diagonal/>
    </border>
    <border>
      <left style="thin">
        <color auto="1"/>
      </left>
      <right/>
      <top style="medium">
        <color auto="1"/>
      </top>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bottom style="medium">
        <color auto="1"/>
      </bottom>
      <diagonal/>
    </border>
    <border>
      <left/>
      <right/>
      <top style="thin">
        <color auto="1"/>
      </top>
      <bottom style="medium">
        <color auto="1"/>
      </bottom>
      <diagonal/>
    </border>
    <border>
      <left/>
      <right/>
      <top style="medium">
        <color auto="1"/>
      </top>
      <bottom style="thin">
        <color auto="1"/>
      </bottom>
      <diagonal/>
    </border>
    <border>
      <left style="medium">
        <color auto="1"/>
      </left>
      <right style="thin">
        <color auto="1"/>
      </right>
      <top/>
      <bottom style="medium">
        <color auto="1"/>
      </bottom>
      <diagonal/>
    </border>
    <border>
      <left/>
      <right style="thin">
        <color auto="1"/>
      </right>
      <top style="medium">
        <color auto="1"/>
      </top>
      <bottom style="thin">
        <color auto="1"/>
      </bottom>
      <diagonal/>
    </border>
    <border>
      <left/>
      <right style="thin">
        <color indexed="64"/>
      </right>
      <top style="medium">
        <color indexed="64"/>
      </top>
      <bottom/>
      <diagonal/>
    </border>
    <border>
      <left style="thin">
        <color indexed="64"/>
      </left>
      <right style="medium">
        <color indexed="64"/>
      </right>
      <top/>
      <bottom/>
      <diagonal/>
    </border>
  </borders>
  <cellStyleXfs count="8">
    <xf numFmtId="0" fontId="0" fillId="0" borderId="0"/>
    <xf numFmtId="0" fontId="2" fillId="0" borderId="0"/>
    <xf numFmtId="0" fontId="84"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cellStyleXfs>
  <cellXfs count="1540">
    <xf numFmtId="0" fontId="0" fillId="0" borderId="0" xfId="0"/>
    <xf numFmtId="0" fontId="4" fillId="0" borderId="0" xfId="0" applyFont="1"/>
    <xf numFmtId="0" fontId="4" fillId="0" borderId="0" xfId="0" applyFont="1" applyAlignment="1">
      <alignment horizontal="left"/>
    </xf>
    <xf numFmtId="0" fontId="4" fillId="0" borderId="0" xfId="0" applyFont="1" applyFill="1" applyBorder="1"/>
    <xf numFmtId="0" fontId="0" fillId="0" borderId="1" xfId="0" applyBorder="1"/>
    <xf numFmtId="0" fontId="0" fillId="0" borderId="0" xfId="0" applyFill="1" applyBorder="1"/>
    <xf numFmtId="0" fontId="8" fillId="0" borderId="0" xfId="0" applyFont="1"/>
    <xf numFmtId="0" fontId="9" fillId="0" borderId="0" xfId="0" applyFont="1"/>
    <xf numFmtId="0" fontId="0" fillId="0" borderId="0" xfId="0" applyAlignment="1">
      <alignment horizontal="center"/>
    </xf>
    <xf numFmtId="0" fontId="4" fillId="0" borderId="0" xfId="0" applyFont="1" applyAlignment="1">
      <alignment horizontal="center"/>
    </xf>
    <xf numFmtId="0" fontId="8" fillId="0" borderId="0" xfId="0" applyFont="1" applyFill="1"/>
    <xf numFmtId="0" fontId="0" fillId="0" borderId="0" xfId="0" applyFill="1"/>
    <xf numFmtId="0" fontId="4" fillId="0" borderId="0" xfId="0" applyFont="1" applyFill="1"/>
    <xf numFmtId="164" fontId="0" fillId="0" borderId="0" xfId="0" applyNumberFormat="1"/>
    <xf numFmtId="0" fontId="0" fillId="0" borderId="0" xfId="0" applyProtection="1"/>
    <xf numFmtId="0" fontId="0" fillId="0" borderId="0" xfId="0" applyAlignment="1" applyProtection="1">
      <alignment horizontal="center"/>
    </xf>
    <xf numFmtId="2" fontId="0" fillId="0" borderId="0" xfId="0" applyNumberFormat="1"/>
    <xf numFmtId="164" fontId="0" fillId="0" borderId="0" xfId="0" applyNumberFormat="1" applyAlignment="1" applyProtection="1">
      <alignment horizontal="center"/>
    </xf>
    <xf numFmtId="11" fontId="0" fillId="0" borderId="0" xfId="0" applyNumberFormat="1"/>
    <xf numFmtId="0" fontId="8" fillId="0" borderId="0" xfId="0" applyFont="1" applyFill="1" applyBorder="1"/>
    <xf numFmtId="2" fontId="0" fillId="0" borderId="0" xfId="0" applyNumberFormat="1" applyAlignment="1" applyProtection="1">
      <alignment horizontal="center"/>
    </xf>
    <xf numFmtId="0" fontId="4" fillId="0" borderId="2" xfId="0" applyFont="1" applyFill="1" applyBorder="1"/>
    <xf numFmtId="0" fontId="0" fillId="0" borderId="0" xfId="0" applyBorder="1"/>
    <xf numFmtId="0" fontId="4" fillId="0" borderId="3" xfId="0" applyFont="1" applyBorder="1"/>
    <xf numFmtId="0" fontId="4" fillId="0" borderId="0" xfId="0" applyFont="1" applyBorder="1"/>
    <xf numFmtId="0" fontId="4" fillId="0" borderId="4" xfId="0" applyFont="1" applyBorder="1"/>
    <xf numFmtId="0" fontId="4" fillId="0" borderId="5" xfId="0" applyFont="1" applyBorder="1"/>
    <xf numFmtId="0" fontId="12" fillId="2" borderId="0" xfId="0" applyFont="1" applyFill="1"/>
    <xf numFmtId="0" fontId="4" fillId="0" borderId="2" xfId="0" applyFont="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applyAlignment="1">
      <alignment horizontal="center"/>
    </xf>
    <xf numFmtId="0" fontId="0" fillId="3" borderId="0" xfId="0" applyFill="1"/>
    <xf numFmtId="2" fontId="0" fillId="0" borderId="0" xfId="0" applyNumberFormat="1" applyAlignment="1" applyProtection="1">
      <alignment horizontal="center"/>
      <protection locked="0"/>
    </xf>
    <xf numFmtId="2" fontId="0" fillId="0" borderId="0" xfId="0" applyNumberFormat="1" applyAlignment="1">
      <alignment horizontal="center"/>
    </xf>
    <xf numFmtId="0" fontId="0" fillId="0" borderId="0" xfId="0" applyAlignment="1" applyProtection="1">
      <alignment horizontal="center"/>
      <protection locked="0"/>
    </xf>
    <xf numFmtId="0" fontId="0" fillId="0" borderId="0" xfId="0" applyProtection="1">
      <protection locked="0"/>
    </xf>
    <xf numFmtId="0" fontId="4" fillId="4" borderId="0" xfId="0" applyFont="1" applyFill="1"/>
    <xf numFmtId="1" fontId="0" fillId="0" borderId="0" xfId="0" applyNumberFormat="1"/>
    <xf numFmtId="0" fontId="4" fillId="0" borderId="0" xfId="0" applyFont="1" applyFill="1" applyAlignment="1">
      <alignment vertical="center"/>
    </xf>
    <xf numFmtId="0" fontId="4" fillId="4" borderId="0" xfId="0" applyFont="1" applyFill="1" applyBorder="1"/>
    <xf numFmtId="164" fontId="4" fillId="4" borderId="0" xfId="0" applyNumberFormat="1" applyFont="1" applyFill="1"/>
    <xf numFmtId="0" fontId="4" fillId="0" borderId="15" xfId="0" applyFont="1" applyFill="1" applyBorder="1"/>
    <xf numFmtId="0" fontId="4" fillId="0" borderId="16" xfId="0" applyFont="1" applyBorder="1"/>
    <xf numFmtId="2" fontId="4" fillId="4" borderId="0" xfId="0" applyNumberFormat="1" applyFont="1" applyFill="1" applyBorder="1"/>
    <xf numFmtId="0" fontId="4" fillId="0" borderId="15" xfId="0" applyFont="1" applyBorder="1"/>
    <xf numFmtId="164" fontId="4" fillId="0" borderId="0" xfId="0" applyNumberFormat="1" applyFont="1" applyBorder="1" applyAlignment="1">
      <alignment horizontal="center"/>
    </xf>
    <xf numFmtId="164" fontId="4" fillId="0" borderId="0" xfId="0" applyNumberFormat="1" applyFont="1" applyBorder="1"/>
    <xf numFmtId="0" fontId="4" fillId="0" borderId="17" xfId="0" applyFont="1" applyBorder="1"/>
    <xf numFmtId="0" fontId="4" fillId="0" borderId="4" xfId="0" applyFont="1" applyBorder="1" applyAlignment="1">
      <alignment horizontal="center"/>
    </xf>
    <xf numFmtId="0" fontId="4" fillId="0" borderId="18" xfId="0" applyFont="1" applyBorder="1"/>
    <xf numFmtId="165" fontId="4" fillId="0" borderId="0" xfId="0" applyNumberFormat="1" applyFont="1" applyBorder="1"/>
    <xf numFmtId="0" fontId="12" fillId="5" borderId="0" xfId="0" applyFont="1" applyFill="1" applyAlignment="1">
      <alignment horizontal="left"/>
    </xf>
    <xf numFmtId="0" fontId="0" fillId="0" borderId="19" xfId="0" applyBorder="1" applyAlignment="1" applyProtection="1">
      <alignment horizontal="center"/>
    </xf>
    <xf numFmtId="0" fontId="4" fillId="0" borderId="1" xfId="0" applyFont="1" applyBorder="1" applyProtection="1">
      <protection locked="0"/>
    </xf>
    <xf numFmtId="0" fontId="12" fillId="5" borderId="0" xfId="0" applyFont="1" applyFill="1"/>
    <xf numFmtId="0" fontId="4" fillId="0" borderId="1" xfId="0" applyFont="1" applyFill="1" applyBorder="1" applyProtection="1">
      <protection locked="0"/>
    </xf>
    <xf numFmtId="2" fontId="4" fillId="0" borderId="1" xfId="0" applyNumberFormat="1" applyFont="1" applyBorder="1" applyProtection="1">
      <protection locked="0"/>
    </xf>
    <xf numFmtId="2" fontId="4" fillId="0" borderId="0" xfId="0" applyNumberFormat="1" applyFont="1"/>
    <xf numFmtId="2" fontId="4" fillId="0" borderId="20" xfId="0" applyNumberFormat="1" applyFont="1" applyBorder="1" applyProtection="1">
      <protection locked="0"/>
    </xf>
    <xf numFmtId="2" fontId="4" fillId="0" borderId="0" xfId="0" applyNumberFormat="1" applyFont="1" applyBorder="1" applyProtection="1">
      <protection locked="0"/>
    </xf>
    <xf numFmtId="164" fontId="4" fillId="0" borderId="0" xfId="0" applyNumberFormat="1" applyFont="1" applyFill="1" applyBorder="1"/>
    <xf numFmtId="2" fontId="4" fillId="0" borderId="0" xfId="0" applyNumberFormat="1" applyFont="1" applyFill="1" applyBorder="1"/>
    <xf numFmtId="2" fontId="4" fillId="0" borderId="5" xfId="0" applyNumberFormat="1" applyFont="1" applyFill="1" applyBorder="1"/>
    <xf numFmtId="0" fontId="4" fillId="0" borderId="5" xfId="0" applyFont="1" applyFill="1" applyBorder="1"/>
    <xf numFmtId="2" fontId="4" fillId="0" borderId="4" xfId="0" applyNumberFormat="1" applyFont="1" applyFill="1" applyBorder="1"/>
    <xf numFmtId="2" fontId="4" fillId="0" borderId="0" xfId="0" applyNumberFormat="1" applyFont="1" applyBorder="1" applyAlignment="1" applyProtection="1">
      <alignment horizontal="center"/>
      <protection locked="0"/>
    </xf>
    <xf numFmtId="164" fontId="4" fillId="0" borderId="0" xfId="0" applyNumberFormat="1" applyFont="1" applyFill="1" applyBorder="1" applyAlignment="1">
      <alignment horizontal="center"/>
    </xf>
    <xf numFmtId="0" fontId="4" fillId="0" borderId="0" xfId="0" applyFont="1" applyBorder="1" applyAlignment="1" applyProtection="1">
      <alignment horizontal="center"/>
      <protection locked="0"/>
    </xf>
    <xf numFmtId="0" fontId="4" fillId="0" borderId="0" xfId="0" applyFont="1" applyFill="1" applyAlignment="1">
      <alignment horizontal="center"/>
    </xf>
    <xf numFmtId="0" fontId="4" fillId="0" borderId="0" xfId="0" applyFont="1" applyFill="1" applyBorder="1" applyProtection="1">
      <protection locked="0"/>
    </xf>
    <xf numFmtId="0" fontId="0" fillId="0" borderId="1" xfId="0" applyBorder="1" applyAlignment="1" applyProtection="1">
      <alignment horizontal="center"/>
    </xf>
    <xf numFmtId="164" fontId="4" fillId="0" borderId="0" xfId="0" applyNumberFormat="1" applyFont="1"/>
    <xf numFmtId="164" fontId="4" fillId="0" borderId="0" xfId="0" applyNumberFormat="1" applyFont="1" applyFill="1" applyBorder="1" applyAlignment="1"/>
    <xf numFmtId="164" fontId="4" fillId="0" borderId="0" xfId="0" applyNumberFormat="1" applyFont="1" applyFill="1" applyBorder="1" applyAlignment="1" applyProtection="1">
      <protection locked="0"/>
    </xf>
    <xf numFmtId="3" fontId="4" fillId="0" borderId="0" xfId="0" applyNumberFormat="1" applyFont="1" applyFill="1" applyBorder="1"/>
    <xf numFmtId="165" fontId="4" fillId="0" borderId="21" xfId="0" applyNumberFormat="1" applyFont="1" applyBorder="1"/>
    <xf numFmtId="165" fontId="4" fillId="0" borderId="0" xfId="0" applyNumberFormat="1" applyFont="1"/>
    <xf numFmtId="165" fontId="4" fillId="0" borderId="0" xfId="0" applyNumberFormat="1" applyFont="1" applyFill="1" applyBorder="1"/>
    <xf numFmtId="165" fontId="4" fillId="0" borderId="0" xfId="0" applyNumberFormat="1" applyFont="1" applyFill="1"/>
    <xf numFmtId="0" fontId="17" fillId="4" borderId="0" xfId="0" applyFont="1" applyFill="1"/>
    <xf numFmtId="0" fontId="17" fillId="4" borderId="0" xfId="0" applyFont="1" applyFill="1" applyBorder="1"/>
    <xf numFmtId="0" fontId="12" fillId="6" borderId="1" xfId="0" applyFont="1" applyFill="1" applyBorder="1"/>
    <xf numFmtId="0" fontId="17" fillId="0" borderId="0" xfId="0" applyFont="1" applyFill="1" applyBorder="1"/>
    <xf numFmtId="164" fontId="12" fillId="6" borderId="1" xfId="0" applyNumberFormat="1" applyFont="1" applyFill="1" applyBorder="1"/>
    <xf numFmtId="2" fontId="12" fillId="6" borderId="1" xfId="0" applyNumberFormat="1" applyFont="1" applyFill="1" applyBorder="1"/>
    <xf numFmtId="0" fontId="12" fillId="5" borderId="0" xfId="0" applyFont="1" applyFill="1" applyAlignment="1">
      <alignment horizontal="center"/>
    </xf>
    <xf numFmtId="0" fontId="12" fillId="0" borderId="0" xfId="0" applyFont="1" applyFill="1" applyAlignment="1">
      <alignment horizontal="left"/>
    </xf>
    <xf numFmtId="0" fontId="12" fillId="0" borderId="0" xfId="0" applyFont="1" applyFill="1"/>
    <xf numFmtId="0" fontId="12" fillId="0" borderId="0" xfId="0" applyFont="1" applyFill="1" applyAlignment="1">
      <alignment horizontal="center"/>
    </xf>
    <xf numFmtId="164" fontId="12" fillId="6" borderId="1" xfId="0" applyNumberFormat="1" applyFont="1" applyFill="1" applyBorder="1" applyProtection="1"/>
    <xf numFmtId="0" fontId="0" fillId="0" borderId="22" xfId="0" applyBorder="1" applyAlignment="1" applyProtection="1">
      <alignment horizontal="center"/>
    </xf>
    <xf numFmtId="0" fontId="0" fillId="0" borderId="23" xfId="0" applyBorder="1" applyAlignment="1" applyProtection="1">
      <alignment horizontal="center"/>
    </xf>
    <xf numFmtId="0" fontId="0" fillId="0" borderId="24" xfId="0" applyBorder="1" applyAlignment="1" applyProtection="1">
      <alignment horizontal="center"/>
    </xf>
    <xf numFmtId="0" fontId="0" fillId="0" borderId="25" xfId="0" applyBorder="1" applyAlignment="1" applyProtection="1">
      <alignment horizontal="center"/>
    </xf>
    <xf numFmtId="0" fontId="0" fillId="0" borderId="14" xfId="0" applyBorder="1" applyAlignment="1" applyProtection="1">
      <alignment horizontal="center"/>
    </xf>
    <xf numFmtId="0" fontId="0" fillId="0" borderId="26" xfId="0" applyBorder="1" applyAlignment="1" applyProtection="1">
      <alignment horizontal="center"/>
    </xf>
    <xf numFmtId="0" fontId="0" fillId="0" borderId="27" xfId="0" applyBorder="1" applyAlignment="1" applyProtection="1">
      <alignment horizontal="center"/>
    </xf>
    <xf numFmtId="0" fontId="0" fillId="0" borderId="28" xfId="0" applyBorder="1" applyAlignment="1" applyProtection="1">
      <alignment horizontal="center"/>
    </xf>
    <xf numFmtId="167" fontId="0" fillId="0" borderId="29" xfId="0" applyNumberFormat="1" applyBorder="1" applyAlignment="1" applyProtection="1">
      <alignment horizontal="center"/>
    </xf>
    <xf numFmtId="167" fontId="0" fillId="0" borderId="10" xfId="0" applyNumberFormat="1" applyBorder="1" applyAlignment="1" applyProtection="1">
      <alignment horizontal="center"/>
    </xf>
    <xf numFmtId="0" fontId="0" fillId="0" borderId="30" xfId="0" applyBorder="1" applyAlignment="1" applyProtection="1">
      <alignment horizontal="center"/>
    </xf>
    <xf numFmtId="0" fontId="0" fillId="0" borderId="12" xfId="0" applyBorder="1" applyAlignment="1" applyProtection="1">
      <alignment horizontal="center"/>
    </xf>
    <xf numFmtId="0" fontId="17" fillId="0" borderId="0" xfId="0" applyFont="1" applyFill="1"/>
    <xf numFmtId="164" fontId="0" fillId="0" borderId="1" xfId="0" applyNumberFormat="1" applyBorder="1" applyAlignment="1">
      <alignment horizontal="center"/>
    </xf>
    <xf numFmtId="164" fontId="0" fillId="0" borderId="1" xfId="0" applyNumberFormat="1" applyBorder="1" applyAlignment="1" applyProtection="1">
      <alignment horizontal="center"/>
    </xf>
    <xf numFmtId="0" fontId="0" fillId="0" borderId="22" xfId="0" applyBorder="1" applyAlignment="1">
      <alignment horizontal="center"/>
    </xf>
    <xf numFmtId="0" fontId="0" fillId="0" borderId="23" xfId="0" applyBorder="1" applyAlignment="1">
      <alignment horizontal="center"/>
    </xf>
    <xf numFmtId="0" fontId="0" fillId="0" borderId="31" xfId="0" applyBorder="1" applyAlignment="1">
      <alignment horizontal="center"/>
    </xf>
    <xf numFmtId="1" fontId="0" fillId="0" borderId="1" xfId="0" applyNumberFormat="1" applyBorder="1" applyAlignment="1">
      <alignment horizontal="center"/>
    </xf>
    <xf numFmtId="1" fontId="0" fillId="0" borderId="19" xfId="0" applyNumberFormat="1" applyBorder="1" applyAlignment="1">
      <alignment horizontal="center"/>
    </xf>
    <xf numFmtId="1" fontId="0" fillId="0" borderId="24" xfId="0" applyNumberFormat="1" applyBorder="1" applyAlignment="1">
      <alignment horizontal="center"/>
    </xf>
    <xf numFmtId="1" fontId="0" fillId="0" borderId="25" xfId="0" applyNumberFormat="1" applyBorder="1" applyAlignment="1">
      <alignment horizontal="center"/>
    </xf>
    <xf numFmtId="1" fontId="0" fillId="0" borderId="29" xfId="0" applyNumberFormat="1" applyBorder="1" applyAlignment="1">
      <alignment horizontal="center"/>
    </xf>
    <xf numFmtId="1" fontId="0" fillId="0" borderId="10" xfId="0" applyNumberFormat="1" applyBorder="1" applyAlignment="1">
      <alignment horizontal="center"/>
    </xf>
    <xf numFmtId="1" fontId="0" fillId="0" borderId="30" xfId="0" applyNumberFormat="1" applyBorder="1" applyAlignment="1">
      <alignment horizontal="center"/>
    </xf>
    <xf numFmtId="1" fontId="0" fillId="0" borderId="12" xfId="0" applyNumberFormat="1" applyBorder="1" applyAlignment="1">
      <alignment horizontal="center"/>
    </xf>
    <xf numFmtId="1" fontId="0" fillId="0" borderId="13" xfId="0" applyNumberFormat="1" applyBorder="1" applyAlignment="1">
      <alignment horizontal="center"/>
    </xf>
    <xf numFmtId="0" fontId="18" fillId="5" borderId="0" xfId="0" applyFont="1" applyFill="1"/>
    <xf numFmtId="2" fontId="12" fillId="6" borderId="0" xfId="0" applyNumberFormat="1" applyFont="1" applyFill="1"/>
    <xf numFmtId="0" fontId="4" fillId="5" borderId="0" xfId="0" applyFont="1" applyFill="1"/>
    <xf numFmtId="0" fontId="12" fillId="6" borderId="1" xfId="0" applyFont="1" applyFill="1" applyBorder="1" applyProtection="1"/>
    <xf numFmtId="2" fontId="12" fillId="6" borderId="1" xfId="0" applyNumberFormat="1" applyFont="1" applyFill="1" applyBorder="1" applyProtection="1"/>
    <xf numFmtId="1" fontId="12" fillId="6" borderId="1" xfId="0" applyNumberFormat="1" applyFont="1" applyFill="1" applyBorder="1"/>
    <xf numFmtId="3" fontId="12" fillId="6" borderId="1" xfId="0" applyNumberFormat="1" applyFont="1" applyFill="1" applyBorder="1"/>
    <xf numFmtId="164" fontId="12" fillId="6" borderId="1" xfId="0" applyNumberFormat="1" applyFont="1" applyFill="1" applyBorder="1" applyAlignment="1"/>
    <xf numFmtId="0" fontId="17" fillId="5" borderId="0" xfId="0" applyFont="1" applyFill="1"/>
    <xf numFmtId="2" fontId="12" fillId="6" borderId="1" xfId="0" applyNumberFormat="1" applyFont="1" applyFill="1" applyBorder="1" applyAlignment="1"/>
    <xf numFmtId="2" fontId="12" fillId="6" borderId="1" xfId="0" applyNumberFormat="1" applyFont="1" applyFill="1" applyBorder="1" applyProtection="1">
      <protection locked="0"/>
    </xf>
    <xf numFmtId="165" fontId="12" fillId="6" borderId="1" xfId="0" applyNumberFormat="1" applyFont="1" applyFill="1" applyBorder="1"/>
    <xf numFmtId="0" fontId="12" fillId="5" borderId="0" xfId="0" applyFont="1" applyFill="1" applyBorder="1"/>
    <xf numFmtId="3" fontId="12" fillId="6" borderId="12" xfId="0" applyNumberFormat="1" applyFont="1" applyFill="1" applyBorder="1"/>
    <xf numFmtId="2" fontId="4" fillId="5" borderId="0" xfId="0" applyNumberFormat="1" applyFont="1" applyFill="1" applyBorder="1"/>
    <xf numFmtId="2" fontId="12" fillId="6" borderId="0" xfId="0" applyNumberFormat="1" applyFont="1" applyFill="1" applyBorder="1"/>
    <xf numFmtId="0" fontId="12" fillId="4" borderId="0" xfId="0" applyFont="1" applyFill="1"/>
    <xf numFmtId="2" fontId="19" fillId="0" borderId="0" xfId="0" applyNumberFormat="1" applyFont="1" applyBorder="1" applyProtection="1">
      <protection locked="0"/>
    </xf>
    <xf numFmtId="2" fontId="19" fillId="0" borderId="0" xfId="0" applyNumberFormat="1" applyFont="1" applyBorder="1" applyAlignment="1" applyProtection="1">
      <alignment horizontal="center"/>
      <protection locked="0"/>
    </xf>
    <xf numFmtId="0" fontId="20" fillId="0" borderId="0" xfId="0" applyFont="1" applyAlignment="1">
      <alignment horizontal="center"/>
    </xf>
    <xf numFmtId="0" fontId="21" fillId="4" borderId="0" xfId="0" applyFont="1" applyFill="1"/>
    <xf numFmtId="0" fontId="5" fillId="4" borderId="0" xfId="0" applyFont="1" applyFill="1"/>
    <xf numFmtId="164" fontId="21" fillId="4" borderId="0" xfId="0" applyNumberFormat="1" applyFont="1" applyFill="1"/>
    <xf numFmtId="0" fontId="13" fillId="4" borderId="0" xfId="0" applyFont="1" applyFill="1"/>
    <xf numFmtId="2" fontId="13" fillId="4" borderId="0" xfId="0" applyNumberFormat="1" applyFont="1" applyFill="1" applyBorder="1"/>
    <xf numFmtId="0" fontId="0" fillId="4" borderId="0" xfId="0" applyFill="1"/>
    <xf numFmtId="166" fontId="12" fillId="6" borderId="1" xfId="0" applyNumberFormat="1" applyFont="1" applyFill="1" applyBorder="1"/>
    <xf numFmtId="1" fontId="0" fillId="0" borderId="0" xfId="0" applyNumberFormat="1" applyAlignment="1">
      <alignment horizontal="center"/>
    </xf>
    <xf numFmtId="166" fontId="0" fillId="0" borderId="0" xfId="0" applyNumberFormat="1" applyAlignment="1">
      <alignment horizontal="center"/>
    </xf>
    <xf numFmtId="165" fontId="12" fillId="0" borderId="0" xfId="0" applyNumberFormat="1" applyFont="1" applyFill="1" applyBorder="1"/>
    <xf numFmtId="0" fontId="22" fillId="0" borderId="0" xfId="0" applyFont="1" applyBorder="1" applyAlignment="1">
      <alignment horizontal="justify" vertical="top" wrapText="1"/>
    </xf>
    <xf numFmtId="0" fontId="22" fillId="0" borderId="0" xfId="0" applyFont="1" applyBorder="1" applyAlignment="1">
      <alignment horizontal="center" vertical="top" wrapText="1"/>
    </xf>
    <xf numFmtId="0" fontId="23" fillId="0" borderId="0" xfId="0" applyFont="1" applyBorder="1" applyAlignment="1">
      <alignment horizontal="justify" vertical="top" wrapText="1"/>
    </xf>
    <xf numFmtId="0" fontId="23" fillId="0" borderId="0" xfId="0" applyFont="1" applyBorder="1" applyAlignment="1">
      <alignment horizontal="center" vertical="top" wrapText="1"/>
    </xf>
    <xf numFmtId="0" fontId="24" fillId="0" borderId="0" xfId="0" applyFont="1" applyBorder="1"/>
    <xf numFmtId="0" fontId="26" fillId="7" borderId="1" xfId="0" applyFont="1" applyFill="1" applyBorder="1" applyAlignment="1">
      <alignment horizontal="center" vertical="top" wrapText="1"/>
    </xf>
    <xf numFmtId="0" fontId="26" fillId="7" borderId="6" xfId="0" applyFont="1" applyFill="1" applyBorder="1" applyAlignment="1">
      <alignment horizontal="center" vertical="top" wrapText="1"/>
    </xf>
    <xf numFmtId="0" fontId="26" fillId="7" borderId="7" xfId="0" applyFont="1" applyFill="1" applyBorder="1" applyAlignment="1">
      <alignment horizontal="center" vertical="top" wrapText="1"/>
    </xf>
    <xf numFmtId="0" fontId="26" fillId="7" borderId="8" xfId="0" applyFont="1" applyFill="1" applyBorder="1" applyAlignment="1">
      <alignment horizontal="center" vertical="top" wrapText="1"/>
    </xf>
    <xf numFmtId="0" fontId="26" fillId="7" borderId="9" xfId="0" applyFont="1" applyFill="1" applyBorder="1" applyAlignment="1">
      <alignment horizontal="center" vertical="top" wrapText="1"/>
    </xf>
    <xf numFmtId="0" fontId="26" fillId="7" borderId="10" xfId="0" applyFont="1" applyFill="1" applyBorder="1" applyAlignment="1">
      <alignment horizontal="center" vertical="top" wrapText="1"/>
    </xf>
    <xf numFmtId="0" fontId="26" fillId="7" borderId="11" xfId="0" applyFont="1" applyFill="1" applyBorder="1" applyAlignment="1">
      <alignment horizontal="center" vertical="top" wrapText="1"/>
    </xf>
    <xf numFmtId="0" fontId="26" fillId="7" borderId="12" xfId="0" applyFont="1" applyFill="1" applyBorder="1" applyAlignment="1">
      <alignment horizontal="center" vertical="top" wrapText="1"/>
    </xf>
    <xf numFmtId="0" fontId="26" fillId="7" borderId="13" xfId="0" applyFont="1" applyFill="1" applyBorder="1" applyAlignment="1">
      <alignment horizontal="center" vertical="top" wrapText="1"/>
    </xf>
    <xf numFmtId="0" fontId="26" fillId="0" borderId="1" xfId="0" applyFont="1" applyBorder="1" applyAlignment="1">
      <alignment horizontal="center" vertical="top" wrapText="1"/>
    </xf>
    <xf numFmtId="0" fontId="26" fillId="0" borderId="6" xfId="0" applyFont="1" applyBorder="1" applyAlignment="1">
      <alignment horizontal="center" vertical="top" wrapText="1"/>
    </xf>
    <xf numFmtId="0" fontId="26" fillId="0" borderId="7" xfId="0" applyFont="1" applyBorder="1" applyAlignment="1">
      <alignment horizontal="center" vertical="top" wrapText="1"/>
    </xf>
    <xf numFmtId="0" fontId="26" fillId="0" borderId="8" xfId="0" applyFont="1" applyBorder="1" applyAlignment="1">
      <alignment horizontal="center" vertical="top" wrapText="1"/>
    </xf>
    <xf numFmtId="0" fontId="26" fillId="0" borderId="9"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3" xfId="0" applyFont="1" applyBorder="1" applyAlignment="1">
      <alignment horizontal="center" vertical="top" wrapText="1"/>
    </xf>
    <xf numFmtId="0" fontId="22" fillId="0" borderId="1" xfId="0" applyFont="1" applyBorder="1" applyAlignment="1">
      <alignment horizontal="center" vertical="top" wrapText="1"/>
    </xf>
    <xf numFmtId="0" fontId="22" fillId="0" borderId="6" xfId="0" applyFont="1" applyBorder="1" applyAlignment="1">
      <alignment horizontal="justify" vertical="top" wrapText="1"/>
    </xf>
    <xf numFmtId="0" fontId="22" fillId="0" borderId="7" xfId="0" applyFont="1" applyBorder="1" applyAlignment="1">
      <alignment horizontal="center" vertical="top" wrapText="1"/>
    </xf>
    <xf numFmtId="0" fontId="22" fillId="0" borderId="8" xfId="0" applyFont="1" applyBorder="1" applyAlignment="1">
      <alignment horizontal="center" vertical="top" wrapText="1"/>
    </xf>
    <xf numFmtId="0" fontId="22" fillId="0" borderId="9" xfId="0" applyFont="1" applyBorder="1" applyAlignment="1">
      <alignment horizontal="justify" vertical="top" wrapText="1"/>
    </xf>
    <xf numFmtId="0" fontId="22" fillId="0" borderId="10" xfId="0" applyFont="1" applyBorder="1" applyAlignment="1">
      <alignment horizontal="center" vertical="top" wrapText="1"/>
    </xf>
    <xf numFmtId="0" fontId="22" fillId="0" borderId="11" xfId="0" applyFont="1" applyBorder="1" applyAlignment="1">
      <alignment horizontal="justify" vertical="top" wrapText="1"/>
    </xf>
    <xf numFmtId="0" fontId="22" fillId="0" borderId="12" xfId="0" applyFont="1" applyBorder="1" applyAlignment="1">
      <alignment horizontal="center" vertical="top" wrapText="1"/>
    </xf>
    <xf numFmtId="0" fontId="22" fillId="0" borderId="13" xfId="0" applyFont="1" applyBorder="1" applyAlignment="1">
      <alignment horizontal="center" vertical="top" wrapText="1"/>
    </xf>
    <xf numFmtId="164" fontId="0" fillId="0" borderId="0" xfId="0" applyNumberFormat="1" applyAlignment="1">
      <alignment horizontal="center"/>
    </xf>
    <xf numFmtId="166" fontId="0" fillId="0" borderId="0" xfId="0" applyNumberFormat="1"/>
    <xf numFmtId="0" fontId="26" fillId="0" borderId="0" xfId="0" applyFont="1" applyBorder="1" applyAlignment="1">
      <alignment horizontal="center" vertical="top" wrapText="1"/>
    </xf>
    <xf numFmtId="2" fontId="4" fillId="0" borderId="0" xfId="0" applyNumberFormat="1" applyFont="1" applyAlignment="1">
      <alignment horizontal="center"/>
    </xf>
    <xf numFmtId="0" fontId="25" fillId="0" borderId="0" xfId="0" applyFont="1" applyFill="1"/>
    <xf numFmtId="0" fontId="25" fillId="0" borderId="0" xfId="0" applyFont="1"/>
    <xf numFmtId="0" fontId="25" fillId="0" borderId="0" xfId="0" applyFont="1" applyFill="1" applyBorder="1"/>
    <xf numFmtId="0" fontId="22" fillId="0" borderId="0" xfId="0" applyFont="1" applyFill="1" applyBorder="1" applyAlignment="1">
      <alignment horizontal="justify" vertical="top" wrapText="1"/>
    </xf>
    <xf numFmtId="0" fontId="26" fillId="0" borderId="0" xfId="0" applyFont="1" applyFill="1" applyBorder="1" applyAlignment="1">
      <alignment horizontal="center" vertical="top" wrapText="1"/>
    </xf>
    <xf numFmtId="2" fontId="12" fillId="0" borderId="0" xfId="0" applyNumberFormat="1" applyFont="1" applyFill="1" applyBorder="1"/>
    <xf numFmtId="0" fontId="12" fillId="5" borderId="15" xfId="0" applyFont="1" applyFill="1" applyBorder="1"/>
    <xf numFmtId="0" fontId="12" fillId="5" borderId="5" xfId="0" applyFont="1" applyFill="1" applyBorder="1"/>
    <xf numFmtId="2" fontId="12" fillId="5" borderId="5" xfId="0" applyNumberFormat="1" applyFont="1" applyFill="1" applyBorder="1"/>
    <xf numFmtId="0" fontId="12" fillId="5" borderId="2" xfId="0" applyFont="1" applyFill="1" applyBorder="1"/>
    <xf numFmtId="11" fontId="0" fillId="0" borderId="0" xfId="0" applyNumberFormat="1" applyAlignment="1">
      <alignment horizontal="center"/>
    </xf>
    <xf numFmtId="0" fontId="4" fillId="0" borderId="5" xfId="0" applyFont="1" applyBorder="1" applyAlignment="1">
      <alignment horizontal="center"/>
    </xf>
    <xf numFmtId="2" fontId="4" fillId="0" borderId="5" xfId="0" applyNumberFormat="1" applyFont="1" applyFill="1" applyBorder="1" applyAlignment="1">
      <alignment horizontal="center"/>
    </xf>
    <xf numFmtId="0" fontId="4" fillId="3" borderId="1" xfId="0" applyFont="1" applyFill="1" applyBorder="1"/>
    <xf numFmtId="2" fontId="12" fillId="6" borderId="1" xfId="0" applyNumberFormat="1" applyFont="1" applyFill="1" applyBorder="1" applyAlignment="1">
      <alignment horizontal="center"/>
    </xf>
    <xf numFmtId="164" fontId="4" fillId="3" borderId="1" xfId="0" applyNumberFormat="1" applyFont="1" applyFill="1" applyBorder="1" applyAlignment="1" applyProtection="1">
      <protection locked="0"/>
    </xf>
    <xf numFmtId="0" fontId="4" fillId="3" borderId="14" xfId="0" applyFont="1" applyFill="1" applyBorder="1"/>
    <xf numFmtId="2" fontId="4" fillId="0" borderId="1" xfId="0" applyNumberFormat="1" applyFont="1" applyFill="1" applyBorder="1"/>
    <xf numFmtId="3" fontId="12" fillId="0" borderId="0" xfId="0" applyNumberFormat="1" applyFont="1" applyFill="1" applyBorder="1"/>
    <xf numFmtId="0" fontId="0" fillId="0" borderId="0" xfId="0" applyBorder="1" applyAlignment="1">
      <alignment horizontal="left" vertical="center" wrapText="1"/>
    </xf>
    <xf numFmtId="0" fontId="0" fillId="0" borderId="0" xfId="0" applyFill="1" applyAlignment="1">
      <alignment horizontal="center" vertical="center" wrapText="1"/>
    </xf>
    <xf numFmtId="0" fontId="25" fillId="0" borderId="0" xfId="0" applyFont="1" applyAlignment="1">
      <alignment horizontal="center" vertical="center" wrapText="1"/>
    </xf>
    <xf numFmtId="0" fontId="4" fillId="0" borderId="0" xfId="0" applyFont="1" applyAlignment="1">
      <alignment horizontal="center" vertical="center" wrapText="1"/>
    </xf>
    <xf numFmtId="165" fontId="4"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12" fillId="6" borderId="1" xfId="0" applyFont="1" applyFill="1" applyBorder="1" applyAlignment="1">
      <alignment horizontal="center"/>
    </xf>
    <xf numFmtId="165" fontId="4" fillId="0" borderId="1" xfId="0" applyNumberFormat="1" applyFont="1" applyFill="1" applyBorder="1" applyAlignment="1" applyProtection="1">
      <alignment horizontal="center"/>
      <protection locked="0"/>
    </xf>
    <xf numFmtId="0" fontId="20" fillId="0" borderId="1" xfId="0" applyFont="1" applyBorder="1" applyProtection="1">
      <protection locked="0"/>
    </xf>
    <xf numFmtId="0" fontId="20" fillId="0" borderId="0" xfId="0" applyFont="1" applyBorder="1" applyProtection="1">
      <protection locked="0"/>
    </xf>
    <xf numFmtId="3" fontId="0" fillId="0" borderId="0" xfId="0" applyNumberFormat="1"/>
    <xf numFmtId="164" fontId="12" fillId="6" borderId="12" xfId="0" applyNumberFormat="1" applyFont="1" applyFill="1" applyBorder="1"/>
    <xf numFmtId="0" fontId="4" fillId="8" borderId="1" xfId="0" applyFont="1" applyFill="1" applyBorder="1"/>
    <xf numFmtId="2" fontId="12" fillId="6" borderId="0" xfId="0" applyNumberFormat="1" applyFont="1" applyFill="1" applyAlignment="1">
      <alignment horizontal="center"/>
    </xf>
    <xf numFmtId="164" fontId="4" fillId="0" borderId="4" xfId="0" applyNumberFormat="1" applyFont="1" applyBorder="1" applyAlignment="1">
      <alignment horizontal="center"/>
    </xf>
    <xf numFmtId="164" fontId="4" fillId="0" borderId="4" xfId="0" applyNumberFormat="1" applyFont="1" applyBorder="1"/>
    <xf numFmtId="0" fontId="4" fillId="0" borderId="0" xfId="0" applyFont="1" applyBorder="1" applyAlignment="1">
      <alignment horizontal="center"/>
    </xf>
    <xf numFmtId="0" fontId="12" fillId="0" borderId="0" xfId="0" applyFont="1" applyFill="1" applyBorder="1" applyAlignment="1">
      <alignment horizontal="center"/>
    </xf>
    <xf numFmtId="0" fontId="12" fillId="0" borderId="0" xfId="0" applyFont="1" applyFill="1" applyBorder="1"/>
    <xf numFmtId="0" fontId="0" fillId="0" borderId="0" xfId="0" applyFill="1" applyBorder="1" applyAlignment="1" applyProtection="1">
      <alignment horizontal="center"/>
    </xf>
    <xf numFmtId="164" fontId="0" fillId="0" borderId="0" xfId="0" applyNumberFormat="1" applyFill="1" applyBorder="1" applyAlignment="1" applyProtection="1">
      <alignment horizontal="center"/>
    </xf>
    <xf numFmtId="0" fontId="3" fillId="0" borderId="0" xfId="0" applyFont="1" applyFill="1"/>
    <xf numFmtId="0" fontId="28" fillId="0" borderId="0" xfId="0" applyFont="1"/>
    <xf numFmtId="0" fontId="0" fillId="0" borderId="0" xfId="0" applyAlignment="1">
      <alignment wrapText="1"/>
    </xf>
    <xf numFmtId="1" fontId="0" fillId="0" borderId="0" xfId="0" applyNumberFormat="1" applyAlignment="1">
      <alignment wrapText="1"/>
    </xf>
    <xf numFmtId="1" fontId="0" fillId="0" borderId="0" xfId="0" applyNumberFormat="1" applyAlignment="1">
      <alignment horizontal="center" wrapText="1"/>
    </xf>
    <xf numFmtId="164" fontId="0" fillId="0" borderId="27" xfId="0" applyNumberFormat="1" applyBorder="1"/>
    <xf numFmtId="164" fontId="0" fillId="0" borderId="27" xfId="0" applyNumberFormat="1" applyBorder="1" applyAlignment="1" applyProtection="1">
      <alignment horizontal="center"/>
    </xf>
    <xf numFmtId="164" fontId="0" fillId="0" borderId="28" xfId="0" applyNumberFormat="1" applyBorder="1" applyAlignment="1" applyProtection="1">
      <alignment horizontal="center"/>
    </xf>
    <xf numFmtId="0" fontId="22" fillId="0" borderId="32" xfId="0" applyFont="1" applyBorder="1" applyAlignment="1">
      <alignment horizontal="justify" vertical="top" wrapText="1"/>
    </xf>
    <xf numFmtId="166" fontId="0" fillId="0" borderId="7" xfId="0" applyNumberFormat="1" applyBorder="1"/>
    <xf numFmtId="166" fontId="0" fillId="0" borderId="8" xfId="0" applyNumberFormat="1" applyBorder="1"/>
    <xf numFmtId="166" fontId="0" fillId="0" borderId="1" xfId="0" applyNumberFormat="1" applyBorder="1"/>
    <xf numFmtId="166" fontId="0" fillId="0" borderId="10" xfId="0" applyNumberFormat="1" applyBorder="1"/>
    <xf numFmtId="166" fontId="0" fillId="0" borderId="12" xfId="0" applyNumberFormat="1" applyBorder="1"/>
    <xf numFmtId="166" fontId="0" fillId="0" borderId="13" xfId="0" applyNumberFormat="1" applyBorder="1"/>
    <xf numFmtId="166" fontId="0" fillId="0" borderId="27" xfId="0" applyNumberFormat="1" applyBorder="1" applyAlignment="1" applyProtection="1">
      <alignment horizontal="right"/>
    </xf>
    <xf numFmtId="166" fontId="0" fillId="0" borderId="28" xfId="0" applyNumberFormat="1" applyBorder="1" applyAlignment="1" applyProtection="1">
      <alignment horizontal="right"/>
    </xf>
    <xf numFmtId="166" fontId="0" fillId="0" borderId="26" xfId="0" applyNumberFormat="1" applyBorder="1" applyAlignment="1" applyProtection="1">
      <alignment horizontal="right"/>
    </xf>
    <xf numFmtId="0" fontId="0" fillId="0" borderId="14" xfId="0" applyFill="1" applyBorder="1" applyAlignment="1">
      <alignment horizontal="right"/>
    </xf>
    <xf numFmtId="3" fontId="0" fillId="0" borderId="0" xfId="0" applyNumberFormat="1" applyAlignment="1">
      <alignment horizontal="center"/>
    </xf>
    <xf numFmtId="0" fontId="0" fillId="0" borderId="10" xfId="0" applyBorder="1" applyAlignment="1">
      <alignment horizontal="center"/>
    </xf>
    <xf numFmtId="0" fontId="0" fillId="0" borderId="13" xfId="0" applyBorder="1" applyAlignment="1">
      <alignment horizontal="center"/>
    </xf>
    <xf numFmtId="164" fontId="0" fillId="0" borderId="33" xfId="0" applyNumberFormat="1" applyBorder="1" applyAlignment="1" applyProtection="1">
      <alignment horizontal="center"/>
    </xf>
    <xf numFmtId="168" fontId="0" fillId="0" borderId="0" xfId="0" applyNumberFormat="1" applyAlignment="1">
      <alignment horizontal="center"/>
    </xf>
    <xf numFmtId="168" fontId="0" fillId="0" borderId="0" xfId="0" applyNumberFormat="1"/>
    <xf numFmtId="0" fontId="26" fillId="0" borderId="0" xfId="0" applyFont="1" applyBorder="1" applyAlignment="1">
      <alignment horizontal="right" vertical="top" wrapText="1"/>
    </xf>
    <xf numFmtId="0" fontId="26" fillId="0" borderId="34" xfId="0" applyFont="1" applyBorder="1" applyAlignment="1">
      <alignment horizontal="center" vertical="top" wrapText="1"/>
    </xf>
    <xf numFmtId="0" fontId="26" fillId="0" borderId="35" xfId="0" applyFont="1" applyBorder="1" applyAlignment="1">
      <alignment horizontal="center" vertical="top" wrapText="1"/>
    </xf>
    <xf numFmtId="0" fontId="26" fillId="0" borderId="36" xfId="0" applyFont="1" applyBorder="1" applyAlignment="1">
      <alignment horizontal="center" vertical="top" wrapText="1"/>
    </xf>
    <xf numFmtId="0" fontId="26" fillId="0" borderId="37" xfId="0" applyFont="1" applyBorder="1" applyAlignment="1">
      <alignment horizontal="center" vertical="top" wrapText="1"/>
    </xf>
    <xf numFmtId="0" fontId="26" fillId="0" borderId="19" xfId="0" applyFont="1" applyBorder="1" applyAlignment="1">
      <alignment horizontal="center" vertical="top" wrapText="1"/>
    </xf>
    <xf numFmtId="0" fontId="26" fillId="0" borderId="29" xfId="0" applyFont="1" applyBorder="1" applyAlignment="1">
      <alignment horizontal="center" vertical="top" wrapText="1"/>
    </xf>
    <xf numFmtId="0" fontId="26" fillId="0" borderId="32" xfId="0" applyFont="1" applyBorder="1" applyAlignment="1">
      <alignment horizontal="center" vertical="top" wrapText="1"/>
    </xf>
    <xf numFmtId="0" fontId="26" fillId="0" borderId="22" xfId="0" applyFont="1" applyBorder="1" applyAlignment="1">
      <alignment horizontal="center" vertical="top" wrapText="1"/>
    </xf>
    <xf numFmtId="0" fontId="26" fillId="0" borderId="23" xfId="0" applyFont="1" applyBorder="1" applyAlignment="1">
      <alignment horizontal="center" vertical="top" wrapText="1"/>
    </xf>
    <xf numFmtId="168" fontId="0" fillId="0" borderId="9" xfId="0" applyNumberFormat="1" applyBorder="1" applyAlignment="1">
      <alignment horizontal="center"/>
    </xf>
    <xf numFmtId="168" fontId="0" fillId="0" borderId="10" xfId="0" applyNumberFormat="1" applyBorder="1" applyAlignment="1">
      <alignment horizontal="center"/>
    </xf>
    <xf numFmtId="168" fontId="0" fillId="0" borderId="11" xfId="0" applyNumberFormat="1" applyBorder="1" applyAlignment="1">
      <alignment horizontal="center"/>
    </xf>
    <xf numFmtId="168" fontId="0" fillId="0" borderId="13" xfId="0" applyNumberFormat="1" applyBorder="1" applyAlignment="1">
      <alignment horizontal="center"/>
    </xf>
    <xf numFmtId="168" fontId="0" fillId="0" borderId="37" xfId="0" applyNumberFormat="1" applyBorder="1" applyAlignment="1">
      <alignment horizontal="center"/>
    </xf>
    <xf numFmtId="168" fontId="0" fillId="0" borderId="29" xfId="0" applyNumberFormat="1" applyBorder="1" applyAlignment="1">
      <alignment horizontal="center"/>
    </xf>
    <xf numFmtId="0" fontId="0" fillId="0" borderId="32" xfId="0" applyBorder="1" applyAlignment="1">
      <alignment horizontal="center"/>
    </xf>
    <xf numFmtId="166" fontId="0" fillId="0" borderId="10" xfId="0" applyNumberFormat="1" applyBorder="1" applyAlignment="1">
      <alignment horizontal="center"/>
    </xf>
    <xf numFmtId="166" fontId="0" fillId="0" borderId="13" xfId="0" applyNumberFormat="1" applyBorder="1" applyAlignment="1">
      <alignment horizontal="center"/>
    </xf>
    <xf numFmtId="166" fontId="0" fillId="0" borderId="37" xfId="0" applyNumberFormat="1" applyBorder="1" applyAlignment="1">
      <alignment horizontal="center"/>
    </xf>
    <xf numFmtId="1" fontId="0" fillId="0" borderId="38" xfId="0" applyNumberFormat="1" applyBorder="1" applyAlignment="1">
      <alignment horizontal="center"/>
    </xf>
    <xf numFmtId="0" fontId="0" fillId="0" borderId="32" xfId="0" applyBorder="1" applyAlignment="1">
      <alignment horizontal="center" wrapText="1"/>
    </xf>
    <xf numFmtId="0" fontId="0" fillId="0" borderId="23" xfId="0" applyBorder="1" applyAlignment="1">
      <alignment horizontal="center" wrapText="1"/>
    </xf>
    <xf numFmtId="0" fontId="0" fillId="0" borderId="0" xfId="0" applyFill="1" applyBorder="1" applyAlignment="1">
      <alignment horizontal="center" wrapText="1"/>
    </xf>
    <xf numFmtId="2" fontId="0" fillId="0" borderId="0" xfId="0" applyNumberFormat="1" applyAlignment="1">
      <alignment wrapText="1"/>
    </xf>
    <xf numFmtId="168" fontId="0" fillId="0" borderId="0" xfId="0" applyNumberFormat="1" applyAlignment="1">
      <alignment wrapText="1"/>
    </xf>
    <xf numFmtId="168" fontId="0" fillId="0" borderId="32" xfId="0" applyNumberFormat="1" applyBorder="1" applyAlignment="1">
      <alignment horizontal="center" wrapText="1"/>
    </xf>
    <xf numFmtId="168" fontId="0" fillId="0" borderId="23" xfId="0" applyNumberFormat="1" applyBorder="1" applyAlignment="1">
      <alignment horizontal="center" wrapText="1"/>
    </xf>
    <xf numFmtId="168" fontId="0" fillId="0" borderId="0" xfId="0" applyNumberFormat="1" applyAlignment="1">
      <alignment horizontal="center" wrapText="1"/>
    </xf>
    <xf numFmtId="168" fontId="0" fillId="0" borderId="0" xfId="0" applyNumberFormat="1" applyFill="1" applyBorder="1" applyAlignment="1">
      <alignment horizontal="center" wrapText="1"/>
    </xf>
    <xf numFmtId="0" fontId="0" fillId="0" borderId="14" xfId="0" applyBorder="1" applyAlignment="1">
      <alignment horizontal="center" wrapText="1"/>
    </xf>
    <xf numFmtId="166" fontId="0" fillId="0" borderId="27" xfId="0" applyNumberFormat="1" applyBorder="1" applyAlignment="1">
      <alignment horizontal="center"/>
    </xf>
    <xf numFmtId="166" fontId="0" fillId="0" borderId="28" xfId="0" applyNumberFormat="1" applyBorder="1" applyAlignment="1">
      <alignment horizontal="center"/>
    </xf>
    <xf numFmtId="166" fontId="0" fillId="0" borderId="0" xfId="0" applyNumberFormat="1" applyFill="1" applyBorder="1" applyAlignment="1">
      <alignment horizontal="center"/>
    </xf>
    <xf numFmtId="2" fontId="0" fillId="0" borderId="26" xfId="0" applyNumberFormat="1" applyBorder="1"/>
    <xf numFmtId="2" fontId="0" fillId="0" borderId="27" xfId="0" applyNumberFormat="1" applyBorder="1"/>
    <xf numFmtId="2" fontId="0" fillId="0" borderId="28" xfId="0" applyNumberFormat="1" applyBorder="1"/>
    <xf numFmtId="166" fontId="0" fillId="0" borderId="39" xfId="0" applyNumberFormat="1" applyBorder="1" applyAlignment="1">
      <alignment horizontal="center"/>
    </xf>
    <xf numFmtId="166" fontId="0" fillId="0" borderId="33" xfId="0" applyNumberFormat="1" applyBorder="1" applyAlignment="1">
      <alignment horizontal="center"/>
    </xf>
    <xf numFmtId="168" fontId="0" fillId="0" borderId="40" xfId="0" applyNumberFormat="1" applyBorder="1" applyAlignment="1">
      <alignment horizontal="center" wrapText="1"/>
    </xf>
    <xf numFmtId="168" fontId="0" fillId="0" borderId="41" xfId="0" applyNumberFormat="1" applyBorder="1" applyAlignment="1">
      <alignment horizontal="center" wrapText="1"/>
    </xf>
    <xf numFmtId="166" fontId="0" fillId="0" borderId="35" xfId="0" applyNumberFormat="1" applyBorder="1" applyAlignment="1">
      <alignment horizontal="center"/>
    </xf>
    <xf numFmtId="166" fontId="0" fillId="0" borderId="36" xfId="0" applyNumberFormat="1" applyBorder="1" applyAlignment="1">
      <alignment horizontal="center"/>
    </xf>
    <xf numFmtId="166" fontId="0" fillId="0" borderId="34" xfId="0" applyNumberFormat="1" applyBorder="1" applyAlignment="1">
      <alignment horizontal="center"/>
    </xf>
    <xf numFmtId="0" fontId="22" fillId="0" borderId="35" xfId="0" applyFont="1" applyBorder="1" applyAlignment="1">
      <alignment horizontal="justify" vertical="top" wrapText="1"/>
    </xf>
    <xf numFmtId="0" fontId="22" fillId="0" borderId="36" xfId="0" applyFont="1" applyBorder="1" applyAlignment="1">
      <alignment horizontal="justify" vertical="top" wrapText="1"/>
    </xf>
    <xf numFmtId="2" fontId="25" fillId="0" borderId="15" xfId="0" applyNumberFormat="1" applyFont="1" applyBorder="1" applyAlignment="1">
      <alignment horizontal="center" wrapText="1"/>
    </xf>
    <xf numFmtId="0" fontId="25" fillId="0" borderId="2" xfId="0" applyFont="1" applyBorder="1" applyAlignment="1">
      <alignment horizontal="center" wrapText="1"/>
    </xf>
    <xf numFmtId="164" fontId="0" fillId="0" borderId="9" xfId="0" applyNumberFormat="1" applyBorder="1" applyAlignment="1">
      <alignment horizontal="center"/>
    </xf>
    <xf numFmtId="164" fontId="0" fillId="0" borderId="11" xfId="0" applyNumberFormat="1" applyBorder="1" applyAlignment="1">
      <alignment horizontal="center"/>
    </xf>
    <xf numFmtId="0" fontId="22" fillId="0" borderId="42" xfId="0" applyFont="1" applyBorder="1" applyAlignment="1">
      <alignment horizontal="justify" vertical="top" wrapText="1"/>
    </xf>
    <xf numFmtId="164" fontId="0" fillId="0" borderId="37" xfId="0" applyNumberFormat="1" applyBorder="1" applyAlignment="1">
      <alignment horizontal="center"/>
    </xf>
    <xf numFmtId="0" fontId="0" fillId="0" borderId="29" xfId="0" applyBorder="1" applyAlignment="1">
      <alignment horizontal="center"/>
    </xf>
    <xf numFmtId="0" fontId="22" fillId="0" borderId="43" xfId="0" applyFont="1" applyBorder="1" applyAlignment="1">
      <alignment horizontal="justify" vertical="top" wrapText="1"/>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33" xfId="0" applyBorder="1"/>
    <xf numFmtId="0" fontId="0" fillId="0" borderId="27" xfId="0" applyBorder="1"/>
    <xf numFmtId="0" fontId="0" fillId="0" borderId="28" xfId="0" applyBorder="1"/>
    <xf numFmtId="166" fontId="0" fillId="0" borderId="38" xfId="0" applyNumberFormat="1" applyBorder="1" applyAlignment="1">
      <alignment horizontal="center"/>
    </xf>
    <xf numFmtId="2" fontId="0" fillId="0" borderId="0" xfId="0" applyNumberFormat="1" applyAlignment="1" applyProtection="1">
      <alignment horizontal="left"/>
    </xf>
    <xf numFmtId="2" fontId="13" fillId="4" borderId="0" xfId="0" applyNumberFormat="1" applyFont="1" applyFill="1"/>
    <xf numFmtId="0" fontId="12" fillId="9" borderId="16" xfId="0" applyFont="1" applyFill="1" applyBorder="1"/>
    <xf numFmtId="0" fontId="12" fillId="10" borderId="16" xfId="0" applyFont="1" applyFill="1" applyBorder="1"/>
    <xf numFmtId="0" fontId="4" fillId="11" borderId="16" xfId="0" applyFont="1" applyFill="1" applyBorder="1"/>
    <xf numFmtId="0" fontId="4" fillId="12" borderId="16" xfId="0" applyFont="1" applyFill="1" applyBorder="1"/>
    <xf numFmtId="0" fontId="7" fillId="0" borderId="16" xfId="0" applyFont="1" applyBorder="1"/>
    <xf numFmtId="0" fontId="29" fillId="4" borderId="0" xfId="0" applyFont="1" applyFill="1"/>
    <xf numFmtId="0" fontId="29" fillId="5" borderId="5" xfId="0" applyFont="1" applyFill="1" applyBorder="1"/>
    <xf numFmtId="0" fontId="29" fillId="5" borderId="2" xfId="0" applyFont="1" applyFill="1" applyBorder="1"/>
    <xf numFmtId="0" fontId="0" fillId="0" borderId="3" xfId="0" applyBorder="1"/>
    <xf numFmtId="0" fontId="12" fillId="9" borderId="0" xfId="0" applyFont="1" applyFill="1" applyBorder="1" applyAlignment="1">
      <alignment horizontal="center"/>
    </xf>
    <xf numFmtId="0" fontId="0" fillId="0" borderId="16" xfId="0" applyBorder="1"/>
    <xf numFmtId="0" fontId="12" fillId="10" borderId="0" xfId="0" applyFont="1" applyFill="1" applyBorder="1" applyAlignment="1">
      <alignment horizontal="center"/>
    </xf>
    <xf numFmtId="1" fontId="0" fillId="0" borderId="16" xfId="0" applyNumberFormat="1" applyBorder="1"/>
    <xf numFmtId="0" fontId="0" fillId="10" borderId="0" xfId="0" applyFill="1" applyBorder="1"/>
    <xf numFmtId="0" fontId="12" fillId="13" borderId="16" xfId="0" applyFont="1" applyFill="1" applyBorder="1"/>
    <xf numFmtId="0" fontId="12" fillId="13" borderId="0" xfId="0" applyFont="1" applyFill="1" applyBorder="1" applyAlignment="1">
      <alignment horizontal="center"/>
    </xf>
    <xf numFmtId="0" fontId="0" fillId="13" borderId="0" xfId="0" applyFill="1" applyBorder="1"/>
    <xf numFmtId="0" fontId="4" fillId="11" borderId="0" xfId="0" applyFont="1" applyFill="1" applyBorder="1" applyAlignment="1">
      <alignment horizontal="center"/>
    </xf>
    <xf numFmtId="0" fontId="8" fillId="11" borderId="0" xfId="0" applyFont="1" applyFill="1" applyBorder="1"/>
    <xf numFmtId="0" fontId="4" fillId="12" borderId="0" xfId="0" applyFont="1" applyFill="1" applyBorder="1" applyAlignment="1">
      <alignment horizontal="center"/>
    </xf>
    <xf numFmtId="0" fontId="0" fillId="12" borderId="0" xfId="0" applyFill="1" applyBorder="1"/>
    <xf numFmtId="0" fontId="12" fillId="4" borderId="16" xfId="0" applyFont="1" applyFill="1" applyBorder="1"/>
    <xf numFmtId="0" fontId="12" fillId="4" borderId="0" xfId="0" applyFont="1" applyFill="1" applyBorder="1" applyAlignment="1">
      <alignment horizontal="center"/>
    </xf>
    <xf numFmtId="0" fontId="0" fillId="4" borderId="0" xfId="0" applyFill="1" applyBorder="1"/>
    <xf numFmtId="0" fontId="12" fillId="14" borderId="16" xfId="0" applyFont="1" applyFill="1" applyBorder="1"/>
    <xf numFmtId="0" fontId="12" fillId="14" borderId="0" xfId="0" applyFont="1" applyFill="1" applyBorder="1" applyAlignment="1">
      <alignment horizontal="center"/>
    </xf>
    <xf numFmtId="0" fontId="0" fillId="14" borderId="0" xfId="0" applyFill="1" applyBorder="1"/>
    <xf numFmtId="0" fontId="7" fillId="0" borderId="17" xfId="0" applyFont="1" applyBorder="1"/>
    <xf numFmtId="0" fontId="0" fillId="0" borderId="4" xfId="0" applyBorder="1"/>
    <xf numFmtId="0" fontId="0" fillId="0" borderId="18" xfId="0" applyBorder="1"/>
    <xf numFmtId="0" fontId="4" fillId="0" borderId="43" xfId="0" applyFont="1" applyBorder="1"/>
    <xf numFmtId="0" fontId="0" fillId="0" borderId="47" xfId="0" applyBorder="1"/>
    <xf numFmtId="0" fontId="4" fillId="0" borderId="47" xfId="0" applyFont="1" applyBorder="1"/>
    <xf numFmtId="0" fontId="0" fillId="0" borderId="48" xfId="0" applyBorder="1"/>
    <xf numFmtId="0" fontId="0" fillId="11" borderId="0" xfId="0" applyFill="1" applyBorder="1"/>
    <xf numFmtId="1" fontId="0" fillId="0" borderId="0" xfId="0" applyNumberFormat="1" applyBorder="1"/>
    <xf numFmtId="1" fontId="0" fillId="0" borderId="3" xfId="0" applyNumberFormat="1" applyBorder="1"/>
    <xf numFmtId="0" fontId="0" fillId="5" borderId="5" xfId="0" applyFill="1" applyBorder="1"/>
    <xf numFmtId="0" fontId="0" fillId="5" borderId="2" xfId="0" applyFill="1" applyBorder="1"/>
    <xf numFmtId="1" fontId="0" fillId="0" borderId="17" xfId="0" applyNumberFormat="1" applyBorder="1"/>
    <xf numFmtId="0" fontId="25" fillId="0" borderId="16" xfId="0" applyFont="1" applyBorder="1"/>
    <xf numFmtId="0" fontId="25" fillId="0" borderId="17" xfId="0" applyFont="1" applyBorder="1"/>
    <xf numFmtId="0" fontId="18" fillId="5" borderId="15" xfId="0" applyFont="1" applyFill="1" applyBorder="1"/>
    <xf numFmtId="0" fontId="18" fillId="5" borderId="5" xfId="0" applyFont="1" applyFill="1" applyBorder="1"/>
    <xf numFmtId="0" fontId="18" fillId="5" borderId="2" xfId="0" applyFont="1" applyFill="1" applyBorder="1"/>
    <xf numFmtId="0" fontId="0" fillId="0" borderId="5" xfId="0" applyBorder="1"/>
    <xf numFmtId="0" fontId="0" fillId="0" borderId="2" xfId="0" applyBorder="1"/>
    <xf numFmtId="1" fontId="0" fillId="0" borderId="0" xfId="0" applyNumberFormat="1" applyFill="1" applyBorder="1"/>
    <xf numFmtId="1" fontId="0" fillId="0" borderId="3" xfId="0" applyNumberFormat="1" applyFill="1" applyBorder="1"/>
    <xf numFmtId="1" fontId="0" fillId="0" borderId="4" xfId="0" applyNumberFormat="1" applyFill="1" applyBorder="1"/>
    <xf numFmtId="1" fontId="0" fillId="0" borderId="18" xfId="0" applyNumberFormat="1" applyFill="1" applyBorder="1"/>
    <xf numFmtId="0" fontId="25" fillId="0" borderId="15" xfId="0" applyFont="1" applyBorder="1"/>
    <xf numFmtId="0" fontId="25" fillId="0" borderId="16" xfId="0" applyFont="1" applyFill="1" applyBorder="1"/>
    <xf numFmtId="0" fontId="7" fillId="0" borderId="0" xfId="0" applyFont="1" applyBorder="1"/>
    <xf numFmtId="0" fontId="7" fillId="0" borderId="3" xfId="0" applyFont="1" applyBorder="1"/>
    <xf numFmtId="0" fontId="4" fillId="0" borderId="0" xfId="0" applyFont="1" applyBorder="1" applyProtection="1">
      <protection locked="0"/>
    </xf>
    <xf numFmtId="0" fontId="29" fillId="4" borderId="0" xfId="0" applyFont="1" applyFill="1" applyBorder="1"/>
    <xf numFmtId="165" fontId="4" fillId="0" borderId="0" xfId="0" applyNumberFormat="1" applyFont="1" applyFill="1" applyBorder="1" applyAlignment="1" applyProtection="1">
      <alignment horizontal="center"/>
      <protection locked="0"/>
    </xf>
    <xf numFmtId="0" fontId="0" fillId="0" borderId="0" xfId="0" applyBorder="1" applyAlignment="1">
      <alignment horizontal="left" vertical="center"/>
    </xf>
    <xf numFmtId="0" fontId="29" fillId="0" borderId="0" xfId="0" applyFont="1" applyFill="1"/>
    <xf numFmtId="0" fontId="0" fillId="0" borderId="15" xfId="0" applyFill="1" applyBorder="1"/>
    <xf numFmtId="0" fontId="0" fillId="0" borderId="5" xfId="0" applyFill="1" applyBorder="1"/>
    <xf numFmtId="0" fontId="0" fillId="0" borderId="2" xfId="0" applyFill="1" applyBorder="1"/>
    <xf numFmtId="0" fontId="0" fillId="0" borderId="16" xfId="0" applyFill="1" applyBorder="1"/>
    <xf numFmtId="0" fontId="0" fillId="0" borderId="3" xfId="0" applyFill="1" applyBorder="1"/>
    <xf numFmtId="0" fontId="0" fillId="0" borderId="17" xfId="0" applyFill="1" applyBorder="1"/>
    <xf numFmtId="0" fontId="0" fillId="0" borderId="4" xfId="0" applyFill="1" applyBorder="1"/>
    <xf numFmtId="0" fontId="0" fillId="0" borderId="18" xfId="0" applyFill="1" applyBorder="1"/>
    <xf numFmtId="0" fontId="36" fillId="0" borderId="0" xfId="0" applyFont="1" applyAlignment="1">
      <alignment vertical="top"/>
    </xf>
    <xf numFmtId="0" fontId="0" fillId="0" borderId="29" xfId="0" applyBorder="1" applyAlignment="1" applyProtection="1">
      <alignment horizontal="center"/>
    </xf>
    <xf numFmtId="0" fontId="0" fillId="0" borderId="10" xfId="0" applyBorder="1" applyAlignment="1" applyProtection="1">
      <alignment horizontal="center"/>
    </xf>
    <xf numFmtId="0" fontId="0" fillId="0" borderId="13" xfId="0" applyBorder="1" applyAlignment="1" applyProtection="1">
      <alignment horizontal="center"/>
    </xf>
    <xf numFmtId="0" fontId="0" fillId="0" borderId="0" xfId="0" applyBorder="1" applyAlignment="1" applyProtection="1">
      <alignment horizontal="center"/>
    </xf>
    <xf numFmtId="167" fontId="0" fillId="0" borderId="0" xfId="0" applyNumberFormat="1" applyBorder="1" applyAlignment="1" applyProtection="1">
      <alignment horizontal="center"/>
    </xf>
    <xf numFmtId="0" fontId="0" fillId="0" borderId="31" xfId="0" applyBorder="1" applyAlignment="1" applyProtection="1">
      <alignment horizontal="center" wrapText="1"/>
    </xf>
    <xf numFmtId="0" fontId="0" fillId="0" borderId="22" xfId="0" applyBorder="1" applyAlignment="1" applyProtection="1">
      <alignment horizontal="center" wrapText="1"/>
    </xf>
    <xf numFmtId="0" fontId="0" fillId="0" borderId="23" xfId="0" applyBorder="1" applyAlignment="1" applyProtection="1">
      <alignment horizontal="center" wrapText="1"/>
    </xf>
    <xf numFmtId="0" fontId="0" fillId="0" borderId="49" xfId="0" applyBorder="1" applyAlignment="1" applyProtection="1">
      <alignment horizontal="center" wrapText="1"/>
    </xf>
    <xf numFmtId="0" fontId="0" fillId="0" borderId="41" xfId="0" applyBorder="1" applyAlignment="1" applyProtection="1">
      <alignment horizontal="center" wrapText="1"/>
    </xf>
    <xf numFmtId="164" fontId="0" fillId="0" borderId="32" xfId="0" applyNumberFormat="1" applyBorder="1" applyAlignment="1" applyProtection="1">
      <alignment horizontal="center"/>
    </xf>
    <xf numFmtId="164" fontId="0" fillId="0" borderId="22" xfId="0" applyNumberFormat="1" applyBorder="1" applyAlignment="1" applyProtection="1">
      <alignment horizontal="center"/>
    </xf>
    <xf numFmtId="164" fontId="0" fillId="0" borderId="23" xfId="0" applyNumberFormat="1" applyBorder="1" applyAlignment="1" applyProtection="1">
      <alignment horizontal="center"/>
    </xf>
    <xf numFmtId="0" fontId="0" fillId="0" borderId="40" xfId="0" applyBorder="1" applyAlignment="1" applyProtection="1">
      <alignment horizontal="center" wrapText="1"/>
    </xf>
    <xf numFmtId="0" fontId="0" fillId="0" borderId="0" xfId="0" applyFill="1" applyBorder="1" applyAlignment="1" applyProtection="1">
      <alignment horizontal="left"/>
    </xf>
    <xf numFmtId="0" fontId="0" fillId="0" borderId="0" xfId="0" applyAlignment="1">
      <alignment horizontal="left"/>
    </xf>
    <xf numFmtId="165" fontId="8" fillId="0" borderId="0" xfId="0" applyNumberFormat="1" applyFont="1" applyFill="1" applyBorder="1" applyAlignment="1" applyProtection="1">
      <alignment horizontal="left" vertical="center" wrapText="1"/>
      <protection locked="0"/>
    </xf>
    <xf numFmtId="0" fontId="30" fillId="0" borderId="0" xfId="0" applyFont="1" applyFill="1" applyBorder="1" applyAlignment="1">
      <alignment horizontal="left" vertical="center" wrapText="1"/>
    </xf>
    <xf numFmtId="0" fontId="0" fillId="0" borderId="50" xfId="0" applyBorder="1"/>
    <xf numFmtId="0" fontId="0" fillId="0" borderId="40" xfId="0" applyBorder="1" applyAlignment="1">
      <alignment horizontal="center"/>
    </xf>
    <xf numFmtId="0" fontId="0" fillId="0" borderId="49" xfId="0" applyBorder="1" applyAlignment="1">
      <alignment horizontal="center"/>
    </xf>
    <xf numFmtId="0" fontId="0" fillId="0" borderId="41" xfId="0" applyBorder="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2" fontId="0" fillId="0" borderId="7" xfId="0" applyNumberFormat="1" applyBorder="1"/>
    <xf numFmtId="2" fontId="0" fillId="0" borderId="6" xfId="0" applyNumberFormat="1" applyBorder="1"/>
    <xf numFmtId="2" fontId="0" fillId="0" borderId="8" xfId="0" applyNumberFormat="1" applyBorder="1"/>
    <xf numFmtId="2" fontId="0" fillId="0" borderId="9" xfId="0" applyNumberFormat="1" applyBorder="1"/>
    <xf numFmtId="2" fontId="0" fillId="0" borderId="1" xfId="0" applyNumberFormat="1" applyBorder="1"/>
    <xf numFmtId="2" fontId="0" fillId="0" borderId="10" xfId="0" applyNumberFormat="1" applyBorder="1"/>
    <xf numFmtId="2" fontId="0" fillId="0" borderId="11" xfId="0" applyNumberFormat="1" applyBorder="1"/>
    <xf numFmtId="2" fontId="0" fillId="0" borderId="12" xfId="0" applyNumberFormat="1" applyBorder="1"/>
    <xf numFmtId="2" fontId="0" fillId="0" borderId="13" xfId="0" applyNumberFormat="1" applyBorder="1"/>
    <xf numFmtId="0" fontId="0" fillId="0" borderId="0" xfId="0" applyFill="1" applyBorder="1" applyAlignment="1">
      <alignment horizontal="center"/>
    </xf>
    <xf numFmtId="0" fontId="12" fillId="4" borderId="0" xfId="0" applyFont="1" applyFill="1" applyAlignment="1">
      <alignment vertical="top"/>
    </xf>
    <xf numFmtId="0" fontId="0" fillId="0" borderId="0" xfId="0" applyFill="1" applyBorder="1" applyAlignment="1">
      <alignment horizontal="left"/>
    </xf>
    <xf numFmtId="0" fontId="25" fillId="0" borderId="0" xfId="0" applyFont="1" applyAlignment="1">
      <alignment horizontal="center" vertical="center"/>
    </xf>
    <xf numFmtId="0" fontId="40" fillId="4" borderId="0" xfId="0" applyFont="1" applyFill="1"/>
    <xf numFmtId="2" fontId="0" fillId="0" borderId="0" xfId="0" applyNumberFormat="1" applyBorder="1" applyAlignment="1" applyProtection="1">
      <alignment horizontal="center"/>
    </xf>
    <xf numFmtId="0" fontId="0" fillId="0" borderId="7" xfId="0" applyBorder="1" applyAlignment="1">
      <alignment horizontal="center"/>
    </xf>
    <xf numFmtId="166" fontId="0" fillId="0" borderId="51" xfId="0" applyNumberFormat="1" applyBorder="1" applyAlignment="1">
      <alignment horizontal="center"/>
    </xf>
    <xf numFmtId="0" fontId="22" fillId="0" borderId="52" xfId="0" applyFont="1" applyBorder="1" applyAlignment="1">
      <alignment horizontal="center" vertical="top" wrapText="1"/>
    </xf>
    <xf numFmtId="0" fontId="22" fillId="0" borderId="53" xfId="0" applyFont="1" applyBorder="1" applyAlignment="1">
      <alignment horizontal="center" vertical="top" wrapText="1"/>
    </xf>
    <xf numFmtId="0" fontId="22" fillId="0" borderId="54" xfId="0" applyFont="1" applyBorder="1" applyAlignment="1">
      <alignment horizontal="center" vertical="top" wrapText="1"/>
    </xf>
    <xf numFmtId="2" fontId="0" fillId="0" borderId="1" xfId="0" applyNumberFormat="1" applyBorder="1" applyAlignment="1">
      <alignment horizontal="center"/>
    </xf>
    <xf numFmtId="168" fontId="0" fillId="0" borderId="1" xfId="0" applyNumberFormat="1" applyBorder="1"/>
    <xf numFmtId="1" fontId="0" fillId="0" borderId="8" xfId="0" applyNumberFormat="1" applyBorder="1" applyAlignment="1">
      <alignment horizontal="center"/>
    </xf>
    <xf numFmtId="166" fontId="0" fillId="0" borderId="9" xfId="0" applyNumberFormat="1" applyBorder="1" applyAlignment="1">
      <alignment horizontal="center"/>
    </xf>
    <xf numFmtId="168" fontId="0" fillId="0" borderId="10" xfId="0" applyNumberFormat="1" applyBorder="1"/>
    <xf numFmtId="166" fontId="0" fillId="0" borderId="11" xfId="0" applyNumberFormat="1" applyBorder="1" applyAlignment="1">
      <alignment horizontal="center"/>
    </xf>
    <xf numFmtId="168" fontId="0" fillId="0" borderId="12" xfId="0" applyNumberFormat="1" applyBorder="1"/>
    <xf numFmtId="168" fontId="0" fillId="0" borderId="13" xfId="0" applyNumberFormat="1" applyBorder="1"/>
    <xf numFmtId="168" fontId="0" fillId="0" borderId="1" xfId="0" applyNumberFormat="1" applyBorder="1" applyAlignment="1">
      <alignment horizontal="center"/>
    </xf>
    <xf numFmtId="166" fontId="0" fillId="0" borderId="6" xfId="0" applyNumberFormat="1" applyBorder="1" applyAlignment="1">
      <alignment horizontal="center"/>
    </xf>
    <xf numFmtId="168" fontId="0" fillId="0" borderId="7" xfId="0" applyNumberFormat="1" applyBorder="1" applyAlignment="1">
      <alignment horizontal="center"/>
    </xf>
    <xf numFmtId="168" fontId="0" fillId="0" borderId="8" xfId="0" applyNumberFormat="1" applyBorder="1"/>
    <xf numFmtId="168" fontId="0" fillId="0" borderId="12" xfId="0" applyNumberFormat="1" applyBorder="1" applyAlignment="1">
      <alignment horizontal="center"/>
    </xf>
    <xf numFmtId="168" fontId="0" fillId="0" borderId="10" xfId="0" applyNumberFormat="1" applyBorder="1" applyAlignment="1">
      <alignment horizontal="left"/>
    </xf>
    <xf numFmtId="0" fontId="0" fillId="0" borderId="0" xfId="0" applyBorder="1" applyAlignment="1">
      <alignment horizontal="center"/>
    </xf>
    <xf numFmtId="14" fontId="0" fillId="0" borderId="0" xfId="0" applyNumberFormat="1" applyAlignment="1">
      <alignment horizontal="center"/>
    </xf>
    <xf numFmtId="3" fontId="4" fillId="15" borderId="1" xfId="0" applyNumberFormat="1" applyFont="1" applyFill="1" applyBorder="1"/>
    <xf numFmtId="0" fontId="0" fillId="11" borderId="27" xfId="0" applyFill="1" applyBorder="1" applyAlignment="1" applyProtection="1">
      <alignment horizontal="center"/>
    </xf>
    <xf numFmtId="0" fontId="0" fillId="11" borderId="25" xfId="0" applyFill="1" applyBorder="1" applyAlignment="1" applyProtection="1">
      <alignment horizontal="center"/>
    </xf>
    <xf numFmtId="0" fontId="0" fillId="11" borderId="1" xfId="0" applyFill="1" applyBorder="1" applyAlignment="1" applyProtection="1">
      <alignment horizontal="center"/>
    </xf>
    <xf numFmtId="0" fontId="0" fillId="11" borderId="10" xfId="0" applyFill="1" applyBorder="1" applyAlignment="1" applyProtection="1">
      <alignment horizontal="center"/>
    </xf>
    <xf numFmtId="2" fontId="4" fillId="0" borderId="0" xfId="0" applyNumberFormat="1" applyFont="1" applyFill="1" applyBorder="1" applyProtection="1"/>
    <xf numFmtId="0" fontId="8" fillId="0" borderId="0" xfId="0" applyFont="1" applyProtection="1"/>
    <xf numFmtId="0" fontId="4" fillId="6" borderId="0" xfId="0" applyFont="1" applyFill="1"/>
    <xf numFmtId="0" fontId="12" fillId="6" borderId="0" xfId="0" applyFont="1" applyFill="1"/>
    <xf numFmtId="0" fontId="17" fillId="6" borderId="0" xfId="0" applyFont="1" applyFill="1"/>
    <xf numFmtId="0" fontId="0" fillId="6" borderId="0" xfId="0" applyFill="1"/>
    <xf numFmtId="0" fontId="0" fillId="8" borderId="0" xfId="0" applyFill="1"/>
    <xf numFmtId="0" fontId="0" fillId="0" borderId="0" xfId="0" applyAlignment="1">
      <alignment horizontal="left" vertical="center"/>
    </xf>
    <xf numFmtId="0" fontId="42" fillId="0" borderId="0" xfId="0" applyFont="1" applyAlignment="1">
      <alignment horizontal="center" vertical="center"/>
    </xf>
    <xf numFmtId="0" fontId="29" fillId="6" borderId="0" xfId="0" applyFont="1" applyFill="1"/>
    <xf numFmtId="0" fontId="0" fillId="16" borderId="1" xfId="0" applyFill="1" applyBorder="1" applyAlignment="1">
      <alignment horizontal="center" vertical="center"/>
    </xf>
    <xf numFmtId="0" fontId="17" fillId="0" borderId="0" xfId="0" applyFont="1" applyFill="1" applyBorder="1" applyAlignment="1">
      <alignment horizontal="center"/>
    </xf>
    <xf numFmtId="0" fontId="4" fillId="4" borderId="55" xfId="0" applyFont="1" applyFill="1" applyBorder="1"/>
    <xf numFmtId="0" fontId="4" fillId="0" borderId="55" xfId="0" applyFont="1" applyBorder="1"/>
    <xf numFmtId="0" fontId="4" fillId="0" borderId="55" xfId="0" applyFont="1" applyBorder="1" applyAlignment="1">
      <alignment horizontal="left" vertical="center"/>
    </xf>
    <xf numFmtId="0" fontId="0" fillId="0" borderId="55" xfId="0" applyFill="1" applyBorder="1"/>
    <xf numFmtId="0" fontId="0" fillId="0" borderId="56" xfId="0" applyFill="1" applyBorder="1"/>
    <xf numFmtId="0" fontId="8" fillId="0" borderId="0" xfId="0" applyFont="1" applyBorder="1" applyAlignment="1">
      <alignment horizontal="left" vertical="center" wrapText="1"/>
    </xf>
    <xf numFmtId="0" fontId="17" fillId="6" borderId="57" xfId="0" applyFont="1" applyFill="1" applyBorder="1"/>
    <xf numFmtId="0" fontId="17" fillId="6" borderId="57" xfId="0" applyFont="1" applyFill="1" applyBorder="1" applyAlignment="1">
      <alignment horizontal="center"/>
    </xf>
    <xf numFmtId="0" fontId="0" fillId="6" borderId="25" xfId="0" applyFill="1" applyBorder="1"/>
    <xf numFmtId="0" fontId="19" fillId="0" borderId="55" xfId="0" applyFont="1" applyBorder="1"/>
    <xf numFmtId="0" fontId="19" fillId="0" borderId="0" xfId="0" applyFont="1" applyFill="1" applyBorder="1"/>
    <xf numFmtId="0" fontId="19" fillId="0" borderId="0" xfId="0" applyFont="1" applyBorder="1"/>
    <xf numFmtId="0" fontId="25" fillId="0" borderId="0" xfId="0" applyFont="1" applyFill="1" applyAlignment="1">
      <alignment horizontal="center" vertical="center"/>
    </xf>
    <xf numFmtId="0" fontId="0" fillId="0" borderId="0" xfId="0" applyFill="1" applyAlignment="1">
      <alignment horizontal="center" vertical="center"/>
    </xf>
    <xf numFmtId="0" fontId="25" fillId="8" borderId="1" xfId="0" applyFont="1" applyFill="1" applyBorder="1" applyAlignment="1">
      <alignment horizontal="center" vertical="center"/>
    </xf>
    <xf numFmtId="0" fontId="4" fillId="4" borderId="53" xfId="0" applyFont="1" applyFill="1" applyBorder="1" applyAlignment="1">
      <alignment horizontal="left" vertical="center"/>
    </xf>
    <xf numFmtId="0" fontId="0" fillId="4" borderId="25" xfId="0" applyFill="1" applyBorder="1"/>
    <xf numFmtId="0" fontId="25" fillId="8" borderId="53" xfId="0" applyFont="1" applyFill="1" applyBorder="1" applyAlignment="1">
      <alignment horizontal="center" vertical="center"/>
    </xf>
    <xf numFmtId="0" fontId="0" fillId="4" borderId="56" xfId="0" applyFill="1" applyBorder="1"/>
    <xf numFmtId="0" fontId="0" fillId="0" borderId="24" xfId="0" applyFill="1" applyBorder="1"/>
    <xf numFmtId="0" fontId="13" fillId="6" borderId="50" xfId="0" applyFont="1" applyFill="1" applyBorder="1"/>
    <xf numFmtId="0" fontId="4" fillId="6" borderId="58" xfId="0" applyFont="1" applyFill="1" applyBorder="1"/>
    <xf numFmtId="0" fontId="12" fillId="0" borderId="55" xfId="0" applyFont="1" applyFill="1" applyBorder="1" applyAlignment="1">
      <alignment horizontal="left"/>
    </xf>
    <xf numFmtId="0" fontId="4" fillId="0" borderId="59" xfId="0" applyFont="1" applyBorder="1"/>
    <xf numFmtId="0" fontId="4" fillId="0" borderId="60" xfId="0" applyFont="1" applyFill="1" applyBorder="1"/>
    <xf numFmtId="0" fontId="4" fillId="0" borderId="60" xfId="0" applyFont="1" applyBorder="1"/>
    <xf numFmtId="0" fontId="0" fillId="0" borderId="0" xfId="0" applyFill="1" applyAlignment="1">
      <alignment wrapText="1"/>
    </xf>
    <xf numFmtId="0" fontId="4" fillId="0" borderId="55" xfId="0" applyFont="1" applyFill="1" applyBorder="1" applyAlignment="1">
      <alignment horizontal="left" wrapText="1"/>
    </xf>
    <xf numFmtId="0" fontId="4" fillId="0" borderId="0" xfId="0" applyFont="1" applyFill="1" applyBorder="1" applyAlignment="1">
      <alignment wrapText="1"/>
    </xf>
    <xf numFmtId="0" fontId="0" fillId="0" borderId="56" xfId="0" applyBorder="1" applyAlignment="1">
      <alignment wrapText="1"/>
    </xf>
    <xf numFmtId="0" fontId="0" fillId="0" borderId="56" xfId="0" applyBorder="1"/>
    <xf numFmtId="0" fontId="0" fillId="0" borderId="24" xfId="0" applyBorder="1"/>
    <xf numFmtId="0" fontId="25" fillId="0" borderId="0" xfId="0" applyFont="1" applyFill="1" applyBorder="1" applyAlignment="1">
      <alignment horizontal="center" vertical="center"/>
    </xf>
    <xf numFmtId="0" fontId="19" fillId="0" borderId="0" xfId="0" applyFont="1" applyFill="1" applyBorder="1" applyAlignment="1">
      <alignment horizontal="center" wrapText="1"/>
    </xf>
    <xf numFmtId="0" fontId="19" fillId="0" borderId="0" xfId="0" applyFont="1" applyBorder="1" applyAlignment="1">
      <alignment horizontal="center"/>
    </xf>
    <xf numFmtId="0" fontId="19" fillId="0" borderId="0" xfId="0" applyFont="1" applyFill="1" applyBorder="1" applyAlignment="1">
      <alignment horizontal="center"/>
    </xf>
    <xf numFmtId="0" fontId="19" fillId="0" borderId="60" xfId="0" applyFont="1" applyFill="1" applyBorder="1" applyAlignment="1">
      <alignment horizontal="center"/>
    </xf>
    <xf numFmtId="0" fontId="19" fillId="0" borderId="60" xfId="0" applyFont="1" applyBorder="1" applyAlignment="1">
      <alignment horizontal="center"/>
    </xf>
    <xf numFmtId="0" fontId="37" fillId="0" borderId="0" xfId="0" applyFont="1" applyAlignment="1">
      <alignment horizontal="center" vertical="center" wrapText="1"/>
    </xf>
    <xf numFmtId="0" fontId="37" fillId="0" borderId="0" xfId="0" applyFont="1" applyFill="1" applyAlignment="1">
      <alignment horizontal="center" vertical="center"/>
    </xf>
    <xf numFmtId="0" fontId="19" fillId="0" borderId="0" xfId="0" applyFont="1"/>
    <xf numFmtId="0" fontId="37" fillId="0" borderId="0" xfId="0" applyFont="1" applyAlignment="1">
      <alignment horizontal="center" vertical="center"/>
    </xf>
    <xf numFmtId="0" fontId="19" fillId="0" borderId="0" xfId="0" applyFont="1" applyFill="1"/>
    <xf numFmtId="0" fontId="19" fillId="0" borderId="0" xfId="0" applyFont="1" applyAlignment="1">
      <alignment horizontal="center"/>
    </xf>
    <xf numFmtId="0" fontId="19" fillId="0" borderId="0" xfId="0" applyFont="1" applyBorder="1" applyProtection="1">
      <protection locked="0"/>
    </xf>
    <xf numFmtId="0" fontId="19" fillId="0" borderId="0" xfId="0" applyFont="1" applyBorder="1" applyAlignment="1" applyProtection="1">
      <alignment horizontal="center"/>
      <protection locked="0"/>
    </xf>
    <xf numFmtId="0" fontId="7" fillId="8" borderId="53" xfId="0" applyFont="1" applyFill="1" applyBorder="1" applyAlignment="1">
      <alignment horizontal="center" vertical="center"/>
    </xf>
    <xf numFmtId="0" fontId="17" fillId="0" borderId="55" xfId="0" applyFont="1" applyFill="1" applyBorder="1"/>
    <xf numFmtId="0" fontId="19"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8" fillId="0" borderId="0" xfId="0" applyFont="1" applyFill="1" applyBorder="1" applyAlignment="1">
      <alignment horizontal="center"/>
    </xf>
    <xf numFmtId="0" fontId="18" fillId="0" borderId="0" xfId="0" applyFont="1" applyFill="1" applyBorder="1"/>
    <xf numFmtId="0" fontId="4" fillId="0" borderId="55" xfId="0" applyFont="1" applyFill="1" applyBorder="1"/>
    <xf numFmtId="2" fontId="19" fillId="0" borderId="60" xfId="0" applyNumberFormat="1" applyFont="1" applyFill="1" applyBorder="1" applyAlignment="1" applyProtection="1">
      <alignment horizontal="center"/>
    </xf>
    <xf numFmtId="0" fontId="0" fillId="6" borderId="61" xfId="0" applyFill="1" applyBorder="1"/>
    <xf numFmtId="0" fontId="19" fillId="0" borderId="59" xfId="0" applyFont="1" applyFill="1" applyBorder="1"/>
    <xf numFmtId="164" fontId="4" fillId="0" borderId="60" xfId="0" applyNumberFormat="1" applyFont="1" applyFill="1" applyBorder="1" applyAlignment="1" applyProtection="1"/>
    <xf numFmtId="0" fontId="19" fillId="0" borderId="60" xfId="0" applyFont="1" applyFill="1" applyBorder="1"/>
    <xf numFmtId="0" fontId="19" fillId="0" borderId="3" xfId="0" applyFont="1" applyBorder="1"/>
    <xf numFmtId="0" fontId="19" fillId="0" borderId="18" xfId="0" applyFont="1" applyBorder="1"/>
    <xf numFmtId="2" fontId="19" fillId="0" borderId="0" xfId="0" applyNumberFormat="1" applyFont="1" applyFill="1" applyBorder="1" applyAlignment="1">
      <alignment horizontal="center"/>
    </xf>
    <xf numFmtId="0" fontId="19" fillId="0" borderId="55" xfId="0" applyFont="1" applyFill="1" applyBorder="1"/>
    <xf numFmtId="0" fontId="37" fillId="0" borderId="0" xfId="0" applyFont="1" applyBorder="1"/>
    <xf numFmtId="0" fontId="28" fillId="0" borderId="56" xfId="0" applyFont="1" applyBorder="1"/>
    <xf numFmtId="0" fontId="19" fillId="0" borderId="60" xfId="0" applyFont="1" applyBorder="1"/>
    <xf numFmtId="0" fontId="27" fillId="4" borderId="57" xfId="0" applyFont="1" applyFill="1" applyBorder="1"/>
    <xf numFmtId="0" fontId="4" fillId="4" borderId="53" xfId="0" applyFont="1" applyFill="1" applyBorder="1"/>
    <xf numFmtId="0" fontId="19" fillId="0" borderId="0" xfId="0" applyFont="1" applyFill="1" applyAlignment="1">
      <alignment horizontal="center"/>
    </xf>
    <xf numFmtId="0" fontId="18" fillId="6" borderId="57" xfId="0" applyFont="1" applyFill="1" applyBorder="1" applyAlignment="1">
      <alignment horizontal="center"/>
    </xf>
    <xf numFmtId="0" fontId="37" fillId="0" borderId="0" xfId="0" applyFont="1" applyFill="1" applyBorder="1" applyAlignment="1">
      <alignment horizontal="center"/>
    </xf>
    <xf numFmtId="0" fontId="37" fillId="0" borderId="0" xfId="0" applyFont="1" applyBorder="1" applyAlignment="1">
      <alignment horizontal="center" vertical="center" wrapText="1"/>
    </xf>
    <xf numFmtId="0" fontId="19" fillId="6" borderId="58" xfId="0" applyFont="1" applyFill="1" applyBorder="1" applyAlignment="1">
      <alignment horizontal="center"/>
    </xf>
    <xf numFmtId="0" fontId="19" fillId="4" borderId="0" xfId="0" applyFont="1" applyFill="1" applyBorder="1" applyAlignment="1">
      <alignment horizontal="center"/>
    </xf>
    <xf numFmtId="0" fontId="19" fillId="4" borderId="57" xfId="0" applyFont="1" applyFill="1" applyBorder="1" applyAlignment="1">
      <alignment horizontal="center"/>
    </xf>
    <xf numFmtId="2" fontId="19" fillId="4" borderId="57" xfId="0" applyNumberFormat="1" applyFont="1" applyFill="1" applyBorder="1" applyAlignment="1">
      <alignment horizontal="center"/>
    </xf>
    <xf numFmtId="2" fontId="19" fillId="0" borderId="4" xfId="0" applyNumberFormat="1" applyFont="1" applyFill="1" applyBorder="1" applyAlignment="1">
      <alignment horizontal="center"/>
    </xf>
    <xf numFmtId="0" fontId="19" fillId="6" borderId="0" xfId="0" applyFont="1" applyFill="1" applyAlignment="1">
      <alignment horizontal="center"/>
    </xf>
    <xf numFmtId="0" fontId="18" fillId="6" borderId="58" xfId="0" applyFont="1" applyFill="1" applyBorder="1"/>
    <xf numFmtId="0" fontId="37" fillId="0" borderId="0" xfId="0" applyFont="1" applyFill="1" applyBorder="1"/>
    <xf numFmtId="0" fontId="37" fillId="0" borderId="0" xfId="0" applyFont="1" applyBorder="1" applyAlignment="1">
      <alignment horizontal="left" vertical="center" wrapText="1"/>
    </xf>
    <xf numFmtId="0" fontId="19" fillId="0" borderId="0" xfId="0" applyFont="1" applyFill="1" applyBorder="1" applyAlignment="1">
      <alignment wrapText="1"/>
    </xf>
    <xf numFmtId="0" fontId="19" fillId="6" borderId="58" xfId="0" applyFont="1" applyFill="1" applyBorder="1"/>
    <xf numFmtId="0" fontId="19" fillId="4" borderId="0" xfId="0" applyFont="1" applyFill="1" applyBorder="1"/>
    <xf numFmtId="0" fontId="19" fillId="4" borderId="57" xfId="0" applyFont="1" applyFill="1" applyBorder="1"/>
    <xf numFmtId="0" fontId="19" fillId="6" borderId="0" xfId="0" applyFont="1" applyFill="1"/>
    <xf numFmtId="0" fontId="46" fillId="0" borderId="0" xfId="0" applyFont="1" applyBorder="1" applyAlignment="1">
      <alignment horizontal="center"/>
    </xf>
    <xf numFmtId="0" fontId="37" fillId="0" borderId="55" xfId="0" applyFont="1" applyBorder="1"/>
    <xf numFmtId="0" fontId="25" fillId="0" borderId="55" xfId="0" applyFont="1" applyBorder="1"/>
    <xf numFmtId="0" fontId="4" fillId="0" borderId="62" xfId="0" applyFont="1" applyBorder="1"/>
    <xf numFmtId="0" fontId="25" fillId="0" borderId="59" xfId="0" applyFont="1" applyBorder="1"/>
    <xf numFmtId="0" fontId="9" fillId="8" borderId="5" xfId="0" applyFont="1" applyFill="1" applyBorder="1"/>
    <xf numFmtId="2" fontId="19" fillId="8" borderId="5" xfId="0" applyNumberFormat="1" applyFont="1" applyFill="1" applyBorder="1" applyAlignment="1">
      <alignment horizontal="center"/>
    </xf>
    <xf numFmtId="0" fontId="19" fillId="8" borderId="2" xfId="0" applyFont="1" applyFill="1" applyBorder="1"/>
    <xf numFmtId="0" fontId="0" fillId="0" borderId="61" xfId="0" applyFill="1" applyBorder="1"/>
    <xf numFmtId="0" fontId="0" fillId="0" borderId="63" xfId="0" applyBorder="1"/>
    <xf numFmtId="0" fontId="4" fillId="8" borderId="64" xfId="0" applyFont="1" applyFill="1" applyBorder="1"/>
    <xf numFmtId="0" fontId="27" fillId="8" borderId="5" xfId="0" applyFont="1" applyFill="1" applyBorder="1"/>
    <xf numFmtId="0" fontId="19" fillId="8" borderId="5" xfId="0" applyFont="1" applyFill="1" applyBorder="1" applyAlignment="1">
      <alignment horizontal="center"/>
    </xf>
    <xf numFmtId="0" fontId="48" fillId="0" borderId="0" xfId="0" applyFont="1" applyFill="1" applyBorder="1" applyAlignment="1">
      <alignment horizontal="center"/>
    </xf>
    <xf numFmtId="0" fontId="18" fillId="9" borderId="55" xfId="0" applyFont="1" applyFill="1" applyBorder="1"/>
    <xf numFmtId="0" fontId="18" fillId="9" borderId="0" xfId="0" applyFont="1" applyFill="1" applyBorder="1"/>
    <xf numFmtId="0" fontId="19" fillId="9" borderId="0" xfId="0" applyFont="1" applyFill="1" applyBorder="1"/>
    <xf numFmtId="0" fontId="49" fillId="9" borderId="56" xfId="0" applyFont="1" applyFill="1" applyBorder="1"/>
    <xf numFmtId="164" fontId="18" fillId="9" borderId="1" xfId="0" applyNumberFormat="1" applyFont="1" applyFill="1" applyBorder="1" applyAlignment="1">
      <alignment horizontal="center"/>
    </xf>
    <xf numFmtId="0" fontId="19" fillId="9" borderId="55" xfId="0" applyFont="1" applyFill="1" applyBorder="1"/>
    <xf numFmtId="0" fontId="19" fillId="9" borderId="0" xfId="0" applyFont="1" applyFill="1" applyBorder="1" applyAlignment="1">
      <alignment horizontal="center"/>
    </xf>
    <xf numFmtId="0" fontId="18" fillId="9" borderId="0" xfId="0" applyFont="1" applyFill="1" applyBorder="1" applyAlignment="1">
      <alignment horizontal="center"/>
    </xf>
    <xf numFmtId="0" fontId="18" fillId="9" borderId="59" xfId="0" applyFont="1" applyFill="1" applyBorder="1"/>
    <xf numFmtId="0" fontId="18" fillId="9" borderId="60" xfId="0" applyFont="1" applyFill="1" applyBorder="1"/>
    <xf numFmtId="0" fontId="18" fillId="9" borderId="60" xfId="0" applyFont="1" applyFill="1" applyBorder="1" applyAlignment="1">
      <alignment horizontal="center"/>
    </xf>
    <xf numFmtId="0" fontId="45" fillId="0" borderId="0" xfId="0" applyFont="1" applyFill="1" applyBorder="1" applyAlignment="1">
      <alignment vertical="center"/>
    </xf>
    <xf numFmtId="0" fontId="0" fillId="0" borderId="59" xfId="0" applyBorder="1" applyAlignment="1">
      <alignment horizontal="left" vertical="center" wrapText="1"/>
    </xf>
    <xf numFmtId="165" fontId="4" fillId="0" borderId="60" xfId="0" applyNumberFormat="1" applyFont="1" applyFill="1" applyBorder="1" applyAlignment="1" applyProtection="1">
      <alignment horizontal="center"/>
      <protection locked="0"/>
    </xf>
    <xf numFmtId="0" fontId="12" fillId="0" borderId="60" xfId="0" applyFont="1" applyFill="1" applyBorder="1" applyAlignment="1">
      <alignment horizontal="center"/>
    </xf>
    <xf numFmtId="0" fontId="12" fillId="0" borderId="60" xfId="0" applyFont="1" applyFill="1" applyBorder="1"/>
    <xf numFmtId="0" fontId="25" fillId="0" borderId="0" xfId="0" applyFont="1" applyFill="1" applyAlignment="1">
      <alignment horizontal="center" vertical="center" wrapText="1"/>
    </xf>
    <xf numFmtId="0" fontId="13" fillId="0" borderId="55" xfId="0" applyFont="1" applyFill="1" applyBorder="1"/>
    <xf numFmtId="0" fontId="0" fillId="0" borderId="56" xfId="0" applyFill="1" applyBorder="1" applyAlignment="1">
      <alignment horizontal="center" vertical="center" wrapText="1"/>
    </xf>
    <xf numFmtId="0" fontId="0" fillId="4" borderId="57" xfId="0" applyFill="1" applyBorder="1"/>
    <xf numFmtId="0" fontId="37" fillId="4" borderId="57" xfId="0" applyFont="1" applyFill="1" applyBorder="1" applyAlignment="1">
      <alignment horizontal="center"/>
    </xf>
    <xf numFmtId="0" fontId="37" fillId="4" borderId="57" xfId="0" applyFont="1" applyFill="1" applyBorder="1"/>
    <xf numFmtId="165" fontId="8" fillId="4" borderId="57" xfId="0" applyNumberFormat="1" applyFont="1" applyFill="1" applyBorder="1" applyAlignment="1" applyProtection="1">
      <alignment horizontal="left" vertical="center" wrapText="1"/>
      <protection locked="0"/>
    </xf>
    <xf numFmtId="165" fontId="37" fillId="4" borderId="57" xfId="0" applyNumberFormat="1" applyFont="1" applyFill="1" applyBorder="1" applyAlignment="1" applyProtection="1">
      <alignment horizontal="center" vertical="center" wrapText="1"/>
      <protection locked="0"/>
    </xf>
    <xf numFmtId="165" fontId="37" fillId="4" borderId="57" xfId="0" applyNumberFormat="1" applyFont="1" applyFill="1" applyBorder="1" applyAlignment="1" applyProtection="1">
      <alignment horizontal="left" vertical="center" wrapText="1"/>
      <protection locked="0"/>
    </xf>
    <xf numFmtId="0" fontId="4" fillId="0" borderId="58" xfId="0" applyFont="1" applyFill="1" applyBorder="1"/>
    <xf numFmtId="0" fontId="4" fillId="4" borderId="57" xfId="0" applyFont="1" applyFill="1" applyBorder="1"/>
    <xf numFmtId="0" fontId="42" fillId="8" borderId="1" xfId="0" applyFont="1" applyFill="1" applyBorder="1" applyAlignment="1">
      <alignment horizontal="center" vertical="center"/>
    </xf>
    <xf numFmtId="0" fontId="42" fillId="0" borderId="0" xfId="0" applyFont="1" applyFill="1" applyAlignment="1">
      <alignment horizontal="center" vertical="center"/>
    </xf>
    <xf numFmtId="0" fontId="43" fillId="6" borderId="50" xfId="0" applyFont="1" applyFill="1" applyBorder="1" applyAlignment="1">
      <alignment horizontal="center" vertical="center"/>
    </xf>
    <xf numFmtId="0" fontId="43" fillId="6" borderId="58" xfId="0" applyFont="1" applyFill="1" applyBorder="1" applyAlignment="1">
      <alignment horizontal="center" vertical="center"/>
    </xf>
    <xf numFmtId="0" fontId="42" fillId="0" borderId="55" xfId="0" applyFont="1" applyBorder="1" applyAlignment="1">
      <alignment horizontal="center" vertical="center"/>
    </xf>
    <xf numFmtId="0" fontId="42" fillId="0" borderId="0" xfId="0" applyFont="1" applyBorder="1" applyAlignment="1">
      <alignment horizontal="center" vertical="center"/>
    </xf>
    <xf numFmtId="0" fontId="42" fillId="0" borderId="59" xfId="0" applyFont="1" applyFill="1" applyBorder="1" applyAlignment="1">
      <alignment horizontal="center" vertical="center"/>
    </xf>
    <xf numFmtId="0" fontId="42" fillId="0" borderId="60" xfId="0" applyFont="1" applyFill="1" applyBorder="1" applyAlignment="1">
      <alignment horizontal="center" vertical="center"/>
    </xf>
    <xf numFmtId="0" fontId="0" fillId="0" borderId="60" xfId="0" applyFill="1" applyBorder="1" applyAlignment="1">
      <alignment horizontal="center" vertical="center"/>
    </xf>
    <xf numFmtId="0" fontId="42" fillId="8" borderId="1" xfId="0" applyFont="1" applyFill="1" applyBorder="1" applyAlignment="1">
      <alignment horizontal="center" vertical="center" wrapText="1"/>
    </xf>
    <xf numFmtId="0" fontId="44" fillId="4" borderId="53" xfId="0" applyFont="1" applyFill="1" applyBorder="1" applyAlignment="1">
      <alignment horizontal="center" vertical="center"/>
    </xf>
    <xf numFmtId="0" fontId="44" fillId="4" borderId="57" xfId="0" applyFont="1" applyFill="1" applyBorder="1" applyAlignment="1">
      <alignment horizontal="center" vertical="center"/>
    </xf>
    <xf numFmtId="0" fontId="0" fillId="0" borderId="0" xfId="0" applyBorder="1" applyAlignment="1">
      <alignment vertical="center" wrapText="1"/>
    </xf>
    <xf numFmtId="0" fontId="42" fillId="0" borderId="59" xfId="0" applyFont="1" applyBorder="1" applyAlignment="1">
      <alignment horizontal="center" vertical="center"/>
    </xf>
    <xf numFmtId="0" fontId="42" fillId="0" borderId="60" xfId="0" applyFont="1" applyBorder="1" applyAlignment="1">
      <alignment horizontal="center" vertical="center"/>
    </xf>
    <xf numFmtId="0" fontId="4" fillId="4" borderId="57" xfId="0" applyFont="1" applyFill="1" applyBorder="1" applyAlignment="1">
      <alignment vertical="center"/>
    </xf>
    <xf numFmtId="0" fontId="17" fillId="6" borderId="58" xfId="0" applyFont="1" applyFill="1" applyBorder="1" applyAlignment="1">
      <alignment vertical="center"/>
    </xf>
    <xf numFmtId="0" fontId="12" fillId="6" borderId="58" xfId="0" applyFont="1" applyFill="1" applyBorder="1" applyAlignment="1">
      <alignment vertical="center"/>
    </xf>
    <xf numFmtId="0" fontId="12" fillId="6" borderId="58" xfId="0" applyFont="1" applyFill="1" applyBorder="1" applyAlignment="1">
      <alignment horizontal="left" vertical="center"/>
    </xf>
    <xf numFmtId="0" fontId="0" fillId="0" borderId="0" xfId="0" applyAlignment="1">
      <alignment vertical="center"/>
    </xf>
    <xf numFmtId="0" fontId="0" fillId="0" borderId="0" xfId="0" applyBorder="1" applyAlignment="1">
      <alignment vertical="center"/>
    </xf>
    <xf numFmtId="0" fontId="0" fillId="0" borderId="56" xfId="0" applyBorder="1" applyAlignment="1">
      <alignment vertical="center"/>
    </xf>
    <xf numFmtId="2" fontId="0" fillId="16" borderId="53" xfId="0" applyNumberFormat="1" applyFill="1" applyBorder="1" applyAlignment="1">
      <alignment horizontal="left" vertical="center"/>
    </xf>
    <xf numFmtId="0" fontId="0" fillId="16" borderId="57" xfId="0" applyFill="1" applyBorder="1" applyAlignment="1">
      <alignment vertical="center"/>
    </xf>
    <xf numFmtId="0" fontId="0" fillId="16" borderId="25" xfId="0" applyFill="1" applyBorder="1" applyAlignment="1">
      <alignment vertical="center"/>
    </xf>
    <xf numFmtId="0" fontId="0" fillId="16" borderId="53" xfId="0" applyFill="1" applyBorder="1" applyAlignment="1">
      <alignment horizontal="left" vertical="center"/>
    </xf>
    <xf numFmtId="49" fontId="0" fillId="16" borderId="53" xfId="0" applyNumberFormat="1" applyFill="1" applyBorder="1" applyAlignment="1">
      <alignment horizontal="left" vertical="center"/>
    </xf>
    <xf numFmtId="164" fontId="0" fillId="16" borderId="1" xfId="0" applyNumberFormat="1" applyFill="1" applyBorder="1" applyAlignment="1">
      <alignment horizontal="center" vertical="center"/>
    </xf>
    <xf numFmtId="0" fontId="8" fillId="0" borderId="0" xfId="0" applyFont="1" applyBorder="1" applyAlignment="1">
      <alignment vertical="center"/>
    </xf>
    <xf numFmtId="0" fontId="0" fillId="0" borderId="60" xfId="0" applyFill="1" applyBorder="1" applyAlignment="1">
      <alignment vertical="center" wrapText="1"/>
    </xf>
    <xf numFmtId="0" fontId="0" fillId="0" borderId="60" xfId="0" applyFill="1" applyBorder="1" applyAlignment="1">
      <alignment vertical="center"/>
    </xf>
    <xf numFmtId="0" fontId="0" fillId="0" borderId="24" xfId="0" applyFill="1" applyBorder="1" applyAlignment="1">
      <alignment vertical="center"/>
    </xf>
    <xf numFmtId="0" fontId="0" fillId="0" borderId="0" xfId="0" applyFill="1" applyAlignment="1">
      <alignment vertical="center"/>
    </xf>
    <xf numFmtId="0" fontId="4" fillId="4" borderId="57" xfId="0" applyFont="1" applyFill="1" applyBorder="1" applyAlignment="1">
      <alignment horizontal="left" vertical="center"/>
    </xf>
    <xf numFmtId="0" fontId="4" fillId="8" borderId="1" xfId="0" applyFont="1" applyFill="1" applyBorder="1" applyAlignment="1">
      <alignment vertical="center"/>
    </xf>
    <xf numFmtId="0" fontId="4" fillId="0" borderId="0" xfId="0" applyFont="1" applyBorder="1" applyAlignment="1">
      <alignment vertical="center"/>
    </xf>
    <xf numFmtId="164" fontId="0" fillId="0" borderId="0" xfId="0" applyNumberFormat="1" applyBorder="1" applyAlignment="1">
      <alignment horizontal="center" vertical="center"/>
    </xf>
    <xf numFmtId="0" fontId="8" fillId="0" borderId="0" xfId="0" applyFont="1" applyFill="1" applyBorder="1" applyAlignment="1">
      <alignment vertical="center"/>
    </xf>
    <xf numFmtId="164" fontId="0" fillId="0" borderId="0" xfId="0" applyNumberFormat="1" applyBorder="1" applyAlignment="1">
      <alignment horizontal="left" vertical="center"/>
    </xf>
    <xf numFmtId="2" fontId="0" fillId="16" borderId="1" xfId="0" applyNumberFormat="1" applyFill="1" applyBorder="1" applyAlignment="1">
      <alignment horizontal="center" vertical="center"/>
    </xf>
    <xf numFmtId="0" fontId="0" fillId="0" borderId="60" xfId="0" applyBorder="1" applyAlignment="1">
      <alignment vertical="center"/>
    </xf>
    <xf numFmtId="0" fontId="0" fillId="0" borderId="60" xfId="0" applyBorder="1" applyAlignment="1">
      <alignment horizontal="left" vertical="center"/>
    </xf>
    <xf numFmtId="0" fontId="0" fillId="0" borderId="24" xfId="0" applyBorder="1" applyAlignment="1">
      <alignment vertical="center"/>
    </xf>
    <xf numFmtId="0" fontId="0" fillId="6" borderId="61" xfId="0" applyFill="1" applyBorder="1" applyAlignment="1">
      <alignment vertical="center"/>
    </xf>
    <xf numFmtId="0" fontId="0" fillId="0" borderId="0" xfId="0" applyFill="1" applyBorder="1" applyAlignment="1">
      <alignment vertical="center"/>
    </xf>
    <xf numFmtId="0" fontId="0" fillId="4" borderId="25" xfId="0" applyFill="1" applyBorder="1" applyAlignment="1">
      <alignment vertical="center"/>
    </xf>
    <xf numFmtId="0" fontId="42" fillId="4" borderId="53" xfId="0" applyFont="1" applyFill="1" applyBorder="1" applyAlignment="1">
      <alignment horizontal="center" vertical="center"/>
    </xf>
    <xf numFmtId="0" fontId="42" fillId="8" borderId="53" xfId="0" applyFont="1" applyFill="1" applyBorder="1" applyAlignment="1">
      <alignment horizontal="center" vertical="center"/>
    </xf>
    <xf numFmtId="0" fontId="25" fillId="0" borderId="25" xfId="0" applyFont="1" applyFill="1" applyBorder="1" applyAlignment="1">
      <alignment horizontal="center" vertical="center"/>
    </xf>
    <xf numFmtId="0" fontId="43" fillId="0" borderId="55" xfId="0" applyFont="1" applyFill="1" applyBorder="1" applyAlignment="1">
      <alignment horizontal="center" vertical="center"/>
    </xf>
    <xf numFmtId="0" fontId="12" fillId="0" borderId="0" xfId="0" applyFont="1" applyFill="1" applyBorder="1" applyAlignment="1">
      <alignment vertical="center"/>
    </xf>
    <xf numFmtId="0" fontId="0" fillId="0" borderId="56" xfId="0" applyFill="1" applyBorder="1" applyAlignment="1">
      <alignment vertical="center"/>
    </xf>
    <xf numFmtId="0" fontId="8" fillId="0" borderId="0" xfId="0" applyFont="1" applyAlignment="1">
      <alignment horizontal="center"/>
    </xf>
    <xf numFmtId="0" fontId="8" fillId="0" borderId="0" xfId="0" applyFont="1" applyFill="1" applyBorder="1" applyAlignment="1">
      <alignment horizontal="center" vertical="center"/>
    </xf>
    <xf numFmtId="0" fontId="29" fillId="6" borderId="58" xfId="0" applyFont="1" applyFill="1" applyBorder="1" applyAlignment="1">
      <alignment horizontal="center" vertical="center"/>
    </xf>
    <xf numFmtId="0" fontId="29" fillId="0" borderId="0" xfId="0"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Border="1"/>
    <xf numFmtId="0" fontId="8" fillId="0" borderId="0" xfId="0" applyFont="1" applyFill="1" applyBorder="1" applyAlignment="1">
      <alignment horizontal="center"/>
    </xf>
    <xf numFmtId="0" fontId="8" fillId="0" borderId="0" xfId="0" applyFont="1" applyBorder="1" applyAlignment="1">
      <alignment horizontal="center"/>
    </xf>
    <xf numFmtId="165" fontId="0" fillId="0" borderId="0" xfId="0" applyNumberFormat="1" applyAlignment="1">
      <alignment horizontal="right"/>
    </xf>
    <xf numFmtId="165" fontId="12" fillId="6" borderId="58" xfId="0" applyNumberFormat="1" applyFont="1" applyFill="1" applyBorder="1" applyAlignment="1">
      <alignment horizontal="right" vertical="center"/>
    </xf>
    <xf numFmtId="165" fontId="12" fillId="0" borderId="0" xfId="0" applyNumberFormat="1" applyFont="1" applyFill="1" applyBorder="1" applyAlignment="1">
      <alignment horizontal="right" vertical="center"/>
    </xf>
    <xf numFmtId="165" fontId="0" fillId="0" borderId="0" xfId="0" applyNumberFormat="1" applyBorder="1" applyAlignment="1">
      <alignment horizontal="right" vertical="center"/>
    </xf>
    <xf numFmtId="165" fontId="8" fillId="16" borderId="1" xfId="0" applyNumberFormat="1" applyFont="1" applyFill="1" applyBorder="1" applyAlignment="1">
      <alignment horizontal="right" vertical="center"/>
    </xf>
    <xf numFmtId="165" fontId="8" fillId="0" borderId="0" xfId="0" applyNumberFormat="1" applyFont="1" applyFill="1" applyBorder="1" applyAlignment="1">
      <alignment horizontal="right" vertical="center"/>
    </xf>
    <xf numFmtId="165" fontId="28" fillId="0" borderId="0" xfId="0" applyNumberFormat="1" applyFont="1" applyFill="1" applyBorder="1" applyAlignment="1">
      <alignment horizontal="right" vertical="center"/>
    </xf>
    <xf numFmtId="165" fontId="28" fillId="0" borderId="0" xfId="0" applyNumberFormat="1" applyFont="1" applyAlignment="1">
      <alignment horizontal="right"/>
    </xf>
    <xf numFmtId="165" fontId="28" fillId="0" borderId="0" xfId="0" applyNumberFormat="1" applyFont="1" applyBorder="1" applyAlignment="1">
      <alignment horizontal="right"/>
    </xf>
    <xf numFmtId="165" fontId="8" fillId="16" borderId="20" xfId="0" applyNumberFormat="1" applyFont="1" applyFill="1" applyBorder="1" applyAlignment="1">
      <alignment horizontal="right"/>
    </xf>
    <xf numFmtId="165" fontId="0" fillId="16" borderId="1" xfId="0" applyNumberFormat="1" applyFill="1" applyBorder="1" applyAlignment="1">
      <alignment horizontal="right"/>
    </xf>
    <xf numFmtId="165" fontId="28" fillId="16" borderId="1" xfId="0" applyNumberFormat="1" applyFont="1" applyFill="1" applyBorder="1" applyAlignment="1">
      <alignment horizontal="right" vertical="center"/>
    </xf>
    <xf numFmtId="165" fontId="28" fillId="16" borderId="1" xfId="0" applyNumberFormat="1" applyFont="1" applyFill="1" applyBorder="1" applyAlignment="1">
      <alignment horizontal="right"/>
    </xf>
    <xf numFmtId="165" fontId="8" fillId="16" borderId="1" xfId="0" applyNumberFormat="1" applyFont="1" applyFill="1" applyBorder="1" applyAlignment="1">
      <alignment horizontal="right"/>
    </xf>
    <xf numFmtId="0" fontId="0" fillId="4" borderId="56" xfId="0" applyFill="1" applyBorder="1" applyAlignment="1">
      <alignment vertical="center"/>
    </xf>
    <xf numFmtId="0" fontId="43" fillId="4" borderId="53" xfId="0" applyFont="1" applyFill="1" applyBorder="1" applyAlignment="1">
      <alignment horizontal="center" vertical="center"/>
    </xf>
    <xf numFmtId="165" fontId="12" fillId="4" borderId="57" xfId="0" applyNumberFormat="1" applyFont="1" applyFill="1" applyBorder="1" applyAlignment="1">
      <alignment horizontal="right" vertical="center"/>
    </xf>
    <xf numFmtId="0" fontId="12" fillId="4" borderId="57" xfId="0" applyFont="1" applyFill="1" applyBorder="1" applyAlignment="1">
      <alignment vertical="center"/>
    </xf>
    <xf numFmtId="0" fontId="29" fillId="4" borderId="57" xfId="0" applyFont="1" applyFill="1" applyBorder="1" applyAlignment="1">
      <alignment horizontal="center" vertical="center"/>
    </xf>
    <xf numFmtId="0" fontId="17" fillId="0" borderId="58" xfId="0" applyFont="1" applyFill="1" applyBorder="1" applyAlignment="1">
      <alignment vertical="center"/>
    </xf>
    <xf numFmtId="165" fontId="12" fillId="0" borderId="58" xfId="0" applyNumberFormat="1" applyFont="1" applyFill="1" applyBorder="1" applyAlignment="1">
      <alignment horizontal="right" vertical="center"/>
    </xf>
    <xf numFmtId="0" fontId="12" fillId="0" borderId="58" xfId="0" applyFont="1" applyFill="1" applyBorder="1" applyAlignment="1">
      <alignment vertical="center"/>
    </xf>
    <xf numFmtId="0" fontId="29" fillId="0" borderId="58" xfId="0" applyFont="1" applyFill="1" applyBorder="1" applyAlignment="1">
      <alignment horizontal="center" vertical="center"/>
    </xf>
    <xf numFmtId="0" fontId="0" fillId="0" borderId="61" xfId="0" applyFill="1" applyBorder="1" applyAlignment="1">
      <alignment vertical="center"/>
    </xf>
    <xf numFmtId="0" fontId="43" fillId="0" borderId="50" xfId="0" applyFont="1" applyFill="1" applyBorder="1" applyAlignment="1">
      <alignment horizontal="center" vertical="center"/>
    </xf>
    <xf numFmtId="0" fontId="9" fillId="0" borderId="0" xfId="0" applyFont="1" applyFill="1" applyBorder="1" applyAlignment="1">
      <alignment vertical="center"/>
    </xf>
    <xf numFmtId="0" fontId="42" fillId="4" borderId="55" xfId="0" applyFont="1" applyFill="1" applyBorder="1" applyAlignment="1">
      <alignment horizontal="center" vertical="center"/>
    </xf>
    <xf numFmtId="165" fontId="28" fillId="4" borderId="0" xfId="0" applyNumberFormat="1" applyFont="1" applyFill="1" applyBorder="1" applyAlignment="1">
      <alignment horizontal="right" vertical="center"/>
    </xf>
    <xf numFmtId="0" fontId="0" fillId="4" borderId="0" xfId="0" applyFill="1" applyBorder="1" applyAlignment="1">
      <alignment vertical="center"/>
    </xf>
    <xf numFmtId="0" fontId="8" fillId="4" borderId="0" xfId="0" applyFont="1" applyFill="1" applyBorder="1" applyAlignment="1">
      <alignment horizontal="center" vertical="center"/>
    </xf>
    <xf numFmtId="165" fontId="28" fillId="0" borderId="57" xfId="0" applyNumberFormat="1" applyFont="1" applyFill="1" applyBorder="1" applyAlignment="1">
      <alignment horizontal="right"/>
    </xf>
    <xf numFmtId="165" fontId="28" fillId="0" borderId="0" xfId="0" applyNumberFormat="1" applyFont="1" applyFill="1" applyBorder="1" applyAlignment="1">
      <alignment horizontal="right"/>
    </xf>
    <xf numFmtId="165" fontId="28" fillId="0" borderId="58" xfId="0" applyNumberFormat="1" applyFont="1" applyFill="1" applyBorder="1" applyAlignment="1">
      <alignment horizontal="right"/>
    </xf>
    <xf numFmtId="165" fontId="28" fillId="0" borderId="60" xfId="0" applyNumberFormat="1" applyFont="1" applyFill="1" applyBorder="1" applyAlignment="1">
      <alignment horizontal="right"/>
    </xf>
    <xf numFmtId="165" fontId="28" fillId="4" borderId="0" xfId="0" applyNumberFormat="1" applyFont="1" applyFill="1" applyBorder="1" applyAlignment="1">
      <alignment horizontal="right"/>
    </xf>
    <xf numFmtId="0" fontId="8" fillId="4" borderId="0" xfId="0" applyFont="1" applyFill="1" applyBorder="1" applyAlignment="1">
      <alignment horizontal="center"/>
    </xf>
    <xf numFmtId="4" fontId="28" fillId="16" borderId="1" xfId="0" applyNumberFormat="1" applyFont="1" applyFill="1" applyBorder="1" applyAlignment="1">
      <alignment horizontal="right"/>
    </xf>
    <xf numFmtId="165" fontId="4" fillId="4" borderId="0" xfId="0" applyNumberFormat="1" applyFont="1" applyFill="1" applyBorder="1" applyAlignment="1">
      <alignment horizontal="right"/>
    </xf>
    <xf numFmtId="0" fontId="4" fillId="4" borderId="0" xfId="0" applyFont="1" applyFill="1" applyBorder="1" applyAlignment="1">
      <alignment horizontal="center"/>
    </xf>
    <xf numFmtId="165" fontId="8" fillId="0" borderId="0" xfId="0" applyNumberFormat="1" applyFont="1" applyBorder="1" applyAlignment="1">
      <alignment horizontal="right"/>
    </xf>
    <xf numFmtId="0" fontId="0" fillId="0" borderId="55" xfId="0" applyBorder="1"/>
    <xf numFmtId="0" fontId="0" fillId="4" borderId="55" xfId="0" applyFill="1" applyBorder="1"/>
    <xf numFmtId="165" fontId="0" fillId="0" borderId="0" xfId="0" applyNumberFormat="1" applyBorder="1" applyAlignment="1">
      <alignment horizontal="right"/>
    </xf>
    <xf numFmtId="0" fontId="4" fillId="4" borderId="56" xfId="0" applyFont="1" applyFill="1" applyBorder="1"/>
    <xf numFmtId="0" fontId="0" fillId="6" borderId="59" xfId="0" applyFill="1" applyBorder="1"/>
    <xf numFmtId="0" fontId="0" fillId="6" borderId="60" xfId="0" applyFill="1" applyBorder="1"/>
    <xf numFmtId="165" fontId="28" fillId="6" borderId="60" xfId="0" applyNumberFormat="1" applyFont="1" applyFill="1" applyBorder="1" applyAlignment="1">
      <alignment horizontal="right"/>
    </xf>
    <xf numFmtId="0" fontId="8" fillId="6" borderId="60" xfId="0" applyFont="1" applyFill="1" applyBorder="1" applyAlignment="1">
      <alignment horizontal="center"/>
    </xf>
    <xf numFmtId="0" fontId="0" fillId="6" borderId="24" xfId="0" applyFill="1" applyBorder="1"/>
    <xf numFmtId="3" fontId="28" fillId="16" borderId="1" xfId="0" applyNumberFormat="1" applyFont="1" applyFill="1" applyBorder="1" applyAlignment="1">
      <alignment horizontal="right"/>
    </xf>
    <xf numFmtId="3" fontId="28" fillId="0" borderId="0" xfId="0" applyNumberFormat="1" applyFont="1" applyBorder="1" applyAlignment="1">
      <alignment horizontal="right"/>
    </xf>
    <xf numFmtId="164" fontId="4" fillId="0" borderId="0" xfId="0" applyNumberFormat="1" applyFont="1" applyFill="1" applyBorder="1" applyAlignment="1" applyProtection="1"/>
    <xf numFmtId="0" fontId="4" fillId="0" borderId="50" xfId="0" applyFont="1" applyBorder="1"/>
    <xf numFmtId="0" fontId="4" fillId="0" borderId="58" xfId="0" applyFont="1" applyBorder="1"/>
    <xf numFmtId="164" fontId="4" fillId="0" borderId="58" xfId="0" applyNumberFormat="1" applyFont="1" applyFill="1" applyBorder="1" applyAlignment="1" applyProtection="1"/>
    <xf numFmtId="0" fontId="4" fillId="0" borderId="61" xfId="0" applyFont="1" applyBorder="1"/>
    <xf numFmtId="0" fontId="4" fillId="0" borderId="56" xfId="0" applyFont="1" applyBorder="1"/>
    <xf numFmtId="0" fontId="4" fillId="0" borderId="24" xfId="0" applyFont="1" applyBorder="1"/>
    <xf numFmtId="3" fontId="12" fillId="6" borderId="1" xfId="0" applyNumberFormat="1" applyFont="1" applyFill="1" applyBorder="1" applyAlignment="1"/>
    <xf numFmtId="164" fontId="4" fillId="4" borderId="0" xfId="0" applyNumberFormat="1" applyFont="1" applyFill="1" applyBorder="1" applyAlignment="1" applyProtection="1">
      <protection locked="0"/>
    </xf>
    <xf numFmtId="164" fontId="4" fillId="0" borderId="1" xfId="0" applyNumberFormat="1" applyFont="1" applyFill="1" applyBorder="1" applyAlignment="1" applyProtection="1"/>
    <xf numFmtId="0" fontId="51" fillId="0" borderId="56" xfId="0" applyFont="1" applyBorder="1" applyAlignment="1">
      <alignment vertical="center"/>
    </xf>
    <xf numFmtId="0" fontId="12" fillId="15" borderId="0" xfId="0" applyFont="1" applyFill="1"/>
    <xf numFmtId="3" fontId="33" fillId="6" borderId="1" xfId="0" applyNumberFormat="1" applyFont="1" applyFill="1" applyBorder="1"/>
    <xf numFmtId="164" fontId="0" fillId="0" borderId="20" xfId="0" applyNumberFormat="1" applyBorder="1" applyAlignment="1">
      <alignment horizontal="center"/>
    </xf>
    <xf numFmtId="0" fontId="0" fillId="0" borderId="33" xfId="0" applyBorder="1" applyAlignment="1" applyProtection="1">
      <alignment horizontal="center"/>
    </xf>
    <xf numFmtId="164" fontId="0" fillId="0" borderId="6" xfId="0" applyNumberFormat="1" applyBorder="1" applyAlignment="1">
      <alignment horizontal="center"/>
    </xf>
    <xf numFmtId="164" fontId="0" fillId="0" borderId="7" xfId="0" applyNumberFormat="1" applyBorder="1" applyAlignment="1">
      <alignment horizontal="center"/>
    </xf>
    <xf numFmtId="164" fontId="0" fillId="0" borderId="9" xfId="0" applyNumberFormat="1" applyBorder="1" applyAlignment="1" applyProtection="1">
      <alignment horizontal="center"/>
    </xf>
    <xf numFmtId="164" fontId="0" fillId="0" borderId="65" xfId="0" applyNumberFormat="1" applyBorder="1" applyAlignment="1">
      <alignment horizontal="center"/>
    </xf>
    <xf numFmtId="0" fontId="0" fillId="0" borderId="66" xfId="0" applyBorder="1" applyAlignment="1">
      <alignment horizontal="center"/>
    </xf>
    <xf numFmtId="0" fontId="0" fillId="0" borderId="14" xfId="0" applyFill="1" applyBorder="1" applyAlignment="1">
      <alignment horizontal="center"/>
    </xf>
    <xf numFmtId="1" fontId="0" fillId="0" borderId="27" xfId="0" applyNumberFormat="1" applyBorder="1" applyAlignment="1" applyProtection="1">
      <alignment horizontal="center"/>
      <protection locked="0"/>
    </xf>
    <xf numFmtId="1" fontId="0" fillId="0" borderId="27" xfId="0" applyNumberFormat="1" applyFill="1" applyBorder="1" applyAlignment="1" applyProtection="1">
      <alignment horizontal="center"/>
    </xf>
    <xf numFmtId="1" fontId="0" fillId="0" borderId="28" xfId="0" applyNumberFormat="1" applyFill="1" applyBorder="1" applyAlignment="1" applyProtection="1">
      <alignment horizontal="center"/>
    </xf>
    <xf numFmtId="1" fontId="0" fillId="0" borderId="27" xfId="0" applyNumberFormat="1" applyBorder="1" applyAlignment="1">
      <alignment horizontal="center"/>
    </xf>
    <xf numFmtId="1" fontId="0" fillId="0" borderId="42" xfId="0" applyNumberFormat="1" applyFill="1" applyBorder="1" applyAlignment="1" applyProtection="1">
      <alignment horizontal="center"/>
    </xf>
    <xf numFmtId="0" fontId="0" fillId="11" borderId="0" xfId="0" applyFill="1" applyBorder="1" applyAlignment="1">
      <alignment horizontal="center"/>
    </xf>
    <xf numFmtId="164" fontId="0" fillId="11" borderId="32" xfId="0" applyNumberFormat="1" applyFill="1" applyBorder="1" applyAlignment="1" applyProtection="1">
      <alignment horizontal="center"/>
    </xf>
    <xf numFmtId="0" fontId="0" fillId="11" borderId="38" xfId="0" applyFill="1" applyBorder="1" applyAlignment="1">
      <alignment horizontal="center"/>
    </xf>
    <xf numFmtId="164" fontId="0" fillId="11" borderId="23" xfId="0" applyNumberFormat="1" applyFill="1" applyBorder="1" applyAlignment="1" applyProtection="1">
      <alignment horizontal="center"/>
    </xf>
    <xf numFmtId="0" fontId="0" fillId="0" borderId="67" xfId="0" applyBorder="1" applyAlignment="1" applyProtection="1">
      <alignment horizontal="center"/>
    </xf>
    <xf numFmtId="0" fontId="0" fillId="0" borderId="20" xfId="0" applyBorder="1" applyAlignment="1" applyProtection="1">
      <alignment horizontal="center"/>
    </xf>
    <xf numFmtId="167" fontId="0" fillId="0" borderId="68" xfId="0" applyNumberFormat="1" applyBorder="1" applyAlignment="1" applyProtection="1">
      <alignment horizontal="center"/>
    </xf>
    <xf numFmtId="0" fontId="0" fillId="0" borderId="32" xfId="0" applyBorder="1" applyAlignment="1" applyProtection="1">
      <alignment horizontal="center"/>
    </xf>
    <xf numFmtId="0" fontId="0" fillId="0" borderId="37" xfId="0" applyBorder="1" applyAlignment="1" applyProtection="1">
      <alignment horizontal="center"/>
    </xf>
    <xf numFmtId="0" fontId="0" fillId="0" borderId="9" xfId="0" applyBorder="1" applyAlignment="1" applyProtection="1">
      <alignment horizontal="center"/>
    </xf>
    <xf numFmtId="0" fontId="0" fillId="0" borderId="65" xfId="0" applyBorder="1" applyAlignment="1" applyProtection="1">
      <alignment horizontal="center"/>
    </xf>
    <xf numFmtId="169" fontId="0" fillId="0" borderId="32" xfId="0" applyNumberFormat="1" applyBorder="1" applyAlignment="1" applyProtection="1">
      <alignment horizontal="center"/>
    </xf>
    <xf numFmtId="169" fontId="0" fillId="0" borderId="22" xfId="0" applyNumberFormat="1" applyBorder="1" applyAlignment="1" applyProtection="1">
      <alignment horizontal="center"/>
    </xf>
    <xf numFmtId="0" fontId="0" fillId="0" borderId="22" xfId="0" applyBorder="1"/>
    <xf numFmtId="2" fontId="0" fillId="0" borderId="23" xfId="0" applyNumberFormat="1" applyBorder="1" applyAlignment="1" applyProtection="1">
      <alignment horizontal="center"/>
    </xf>
    <xf numFmtId="0" fontId="0" fillId="11" borderId="0" xfId="0" applyFill="1" applyAlignment="1">
      <alignment horizontal="center"/>
    </xf>
    <xf numFmtId="0" fontId="0" fillId="11" borderId="0" xfId="0" applyFill="1" applyAlignment="1">
      <alignment horizontal="left"/>
    </xf>
    <xf numFmtId="0" fontId="0" fillId="8" borderId="9" xfId="0" applyFill="1" applyBorder="1" applyAlignment="1" applyProtection="1">
      <alignment horizontal="center"/>
    </xf>
    <xf numFmtId="0" fontId="0" fillId="8" borderId="1" xfId="0" applyFill="1" applyBorder="1" applyAlignment="1" applyProtection="1">
      <alignment horizontal="center"/>
    </xf>
    <xf numFmtId="167" fontId="0" fillId="8" borderId="10" xfId="0" applyNumberFormat="1" applyFill="1" applyBorder="1" applyAlignment="1" applyProtection="1">
      <alignment horizontal="center"/>
    </xf>
    <xf numFmtId="164" fontId="0" fillId="8" borderId="9" xfId="0" applyNumberFormat="1" applyFill="1" applyBorder="1" applyAlignment="1" applyProtection="1">
      <alignment horizontal="center"/>
    </xf>
    <xf numFmtId="164" fontId="0" fillId="8" borderId="1" xfId="0" applyNumberFormat="1" applyFill="1" applyBorder="1" applyAlignment="1" applyProtection="1">
      <alignment horizontal="center"/>
    </xf>
    <xf numFmtId="164" fontId="0" fillId="0" borderId="8" xfId="0" applyNumberFormat="1" applyBorder="1" applyAlignment="1" applyProtection="1">
      <alignment horizontal="center"/>
    </xf>
    <xf numFmtId="164" fontId="0" fillId="0" borderId="10" xfId="0" applyNumberFormat="1" applyBorder="1" applyAlignment="1" applyProtection="1">
      <alignment horizontal="center"/>
    </xf>
    <xf numFmtId="164" fontId="0" fillId="8" borderId="10" xfId="0" applyNumberFormat="1" applyFill="1" applyBorder="1" applyAlignment="1" applyProtection="1">
      <alignment horizontal="center"/>
    </xf>
    <xf numFmtId="0" fontId="13" fillId="6" borderId="53" xfId="0" applyFont="1" applyFill="1" applyBorder="1"/>
    <xf numFmtId="0" fontId="4" fillId="6" borderId="57" xfId="0" applyFont="1" applyFill="1" applyBorder="1"/>
    <xf numFmtId="0" fontId="19" fillId="6" borderId="57" xfId="0" applyFont="1" applyFill="1" applyBorder="1" applyAlignment="1">
      <alignment horizontal="center"/>
    </xf>
    <xf numFmtId="0" fontId="19" fillId="6" borderId="57" xfId="0" applyFont="1" applyFill="1" applyBorder="1"/>
    <xf numFmtId="2" fontId="4" fillId="6" borderId="57" xfId="0" applyNumberFormat="1" applyFont="1" applyFill="1" applyBorder="1" applyProtection="1"/>
    <xf numFmtId="0" fontId="18" fillId="6" borderId="57" xfId="0" applyFont="1" applyFill="1" applyBorder="1"/>
    <xf numFmtId="0" fontId="0" fillId="0" borderId="0" xfId="0" applyFill="1" applyBorder="1" applyAlignment="1">
      <alignment horizontal="center" vertical="center"/>
    </xf>
    <xf numFmtId="0" fontId="18" fillId="9" borderId="50" xfId="0" applyFont="1" applyFill="1" applyBorder="1"/>
    <xf numFmtId="0" fontId="18" fillId="9" borderId="58" xfId="0" applyFont="1" applyFill="1" applyBorder="1"/>
    <xf numFmtId="0" fontId="19" fillId="9" borderId="58" xfId="0" applyFont="1" applyFill="1" applyBorder="1"/>
    <xf numFmtId="0" fontId="49" fillId="9" borderId="61" xfId="0" applyFont="1" applyFill="1" applyBorder="1"/>
    <xf numFmtId="0" fontId="12" fillId="9" borderId="56" xfId="0" applyFont="1" applyFill="1" applyBorder="1"/>
    <xf numFmtId="0" fontId="12" fillId="9" borderId="24" xfId="0" applyFont="1" applyFill="1" applyBorder="1"/>
    <xf numFmtId="164" fontId="42" fillId="0" borderId="33" xfId="0" applyNumberFormat="1" applyFont="1" applyBorder="1" applyAlignment="1">
      <alignment horizontal="center" wrapText="1"/>
    </xf>
    <xf numFmtId="0" fontId="0" fillId="0" borderId="38" xfId="0" applyBorder="1" applyAlignment="1">
      <alignment horizontal="center"/>
    </xf>
    <xf numFmtId="0" fontId="0" fillId="0" borderId="69" xfId="0" applyBorder="1" applyAlignment="1">
      <alignment horizontal="center"/>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8" xfId="0" applyNumberFormat="1" applyBorder="1" applyAlignment="1">
      <alignment horizontal="center"/>
    </xf>
    <xf numFmtId="1" fontId="0" fillId="0" borderId="11" xfId="0" applyNumberFormat="1" applyBorder="1" applyAlignment="1">
      <alignment horizontal="center"/>
    </xf>
    <xf numFmtId="1" fontId="0" fillId="0" borderId="14" xfId="0" applyNumberFormat="1" applyBorder="1"/>
    <xf numFmtId="0" fontId="4" fillId="8" borderId="5" xfId="0" applyFont="1" applyFill="1" applyBorder="1"/>
    <xf numFmtId="0" fontId="0" fillId="8" borderId="0" xfId="0" applyFill="1" applyAlignment="1">
      <alignment horizontal="center" wrapText="1"/>
    </xf>
    <xf numFmtId="0" fontId="26" fillId="8" borderId="6" xfId="0" applyFont="1" applyFill="1" applyBorder="1" applyAlignment="1">
      <alignment horizontal="center" vertical="top" wrapText="1"/>
    </xf>
    <xf numFmtId="0" fontId="26" fillId="8" borderId="7" xfId="0" applyFont="1" applyFill="1" applyBorder="1" applyAlignment="1">
      <alignment horizontal="center" vertical="top" wrapText="1"/>
    </xf>
    <xf numFmtId="0" fontId="26" fillId="8" borderId="8" xfId="0" applyFont="1" applyFill="1" applyBorder="1" applyAlignment="1">
      <alignment horizontal="center" vertical="top" wrapText="1"/>
    </xf>
    <xf numFmtId="0" fontId="26" fillId="8" borderId="9" xfId="0" applyFont="1" applyFill="1" applyBorder="1" applyAlignment="1">
      <alignment horizontal="center" vertical="top" wrapText="1"/>
    </xf>
    <xf numFmtId="0" fontId="26" fillId="8" borderId="1" xfId="0" applyFont="1" applyFill="1" applyBorder="1" applyAlignment="1">
      <alignment horizontal="center" vertical="top" wrapText="1"/>
    </xf>
    <xf numFmtId="0" fontId="26" fillId="8" borderId="10" xfId="0" applyFont="1" applyFill="1" applyBorder="1" applyAlignment="1">
      <alignment horizontal="center" vertical="top" wrapText="1"/>
    </xf>
    <xf numFmtId="0" fontId="26" fillId="8" borderId="11" xfId="0" applyFont="1" applyFill="1" applyBorder="1" applyAlignment="1">
      <alignment horizontal="center" vertical="top" wrapText="1"/>
    </xf>
    <xf numFmtId="0" fontId="26" fillId="8" borderId="12" xfId="0" applyFont="1" applyFill="1" applyBorder="1" applyAlignment="1">
      <alignment horizontal="center" vertical="top" wrapText="1"/>
    </xf>
    <xf numFmtId="0" fontId="26" fillId="8" borderId="13" xfId="0" applyFont="1" applyFill="1" applyBorder="1" applyAlignment="1">
      <alignment horizontal="center" vertical="top" wrapText="1"/>
    </xf>
    <xf numFmtId="1" fontId="0" fillId="0" borderId="1" xfId="0" applyNumberFormat="1" applyBorder="1" applyAlignment="1">
      <alignment horizontal="center" wrapText="1"/>
    </xf>
    <xf numFmtId="2" fontId="0" fillId="8" borderId="6" xfId="0" applyNumberFormat="1" applyFill="1" applyBorder="1" applyAlignment="1" applyProtection="1">
      <alignment horizontal="center"/>
    </xf>
    <xf numFmtId="0" fontId="0" fillId="8" borderId="7" xfId="0" applyFill="1" applyBorder="1" applyAlignment="1">
      <alignment horizontal="center"/>
    </xf>
    <xf numFmtId="2" fontId="0" fillId="8" borderId="9" xfId="0" applyNumberFormat="1" applyFill="1" applyBorder="1" applyAlignment="1" applyProtection="1">
      <alignment horizontal="center"/>
    </xf>
    <xf numFmtId="0" fontId="0" fillId="8" borderId="1" xfId="0" applyFill="1" applyBorder="1" applyAlignment="1">
      <alignment horizontal="center"/>
    </xf>
    <xf numFmtId="2" fontId="0" fillId="8" borderId="11" xfId="0" applyNumberFormat="1" applyFill="1" applyBorder="1" applyAlignment="1" applyProtection="1">
      <alignment horizontal="center"/>
    </xf>
    <xf numFmtId="0" fontId="0" fillId="8" borderId="12" xfId="0" applyFill="1" applyBorder="1" applyAlignment="1">
      <alignment horizontal="center"/>
    </xf>
    <xf numFmtId="2" fontId="0" fillId="0" borderId="8" xfId="0" applyNumberFormat="1" applyBorder="1" applyAlignment="1">
      <alignment horizontal="center"/>
    </xf>
    <xf numFmtId="2" fontId="0" fillId="0" borderId="10" xfId="0" applyNumberFormat="1" applyBorder="1" applyAlignment="1">
      <alignment horizontal="center"/>
    </xf>
    <xf numFmtId="2" fontId="0" fillId="0" borderId="13" xfId="0" applyNumberFormat="1" applyBorder="1" applyAlignment="1">
      <alignment horizontal="center"/>
    </xf>
    <xf numFmtId="0" fontId="0" fillId="8" borderId="0" xfId="0" applyFill="1" applyAlignment="1">
      <alignment horizontal="center"/>
    </xf>
    <xf numFmtId="0" fontId="0" fillId="8" borderId="52" xfId="0" applyFill="1" applyBorder="1" applyAlignment="1">
      <alignment horizontal="center"/>
    </xf>
    <xf numFmtId="0" fontId="0" fillId="8" borderId="53" xfId="0" applyFill="1" applyBorder="1" applyAlignment="1">
      <alignment horizontal="center"/>
    </xf>
    <xf numFmtId="0" fontId="0" fillId="8" borderId="54" xfId="0" applyFill="1" applyBorder="1" applyAlignment="1">
      <alignment horizontal="center"/>
    </xf>
    <xf numFmtId="0" fontId="0" fillId="0" borderId="33" xfId="0" applyBorder="1" applyAlignment="1">
      <alignment horizontal="center" wrapText="1"/>
    </xf>
    <xf numFmtId="2" fontId="0" fillId="0" borderId="27" xfId="0" applyNumberFormat="1" applyBorder="1" applyAlignment="1">
      <alignment horizontal="center"/>
    </xf>
    <xf numFmtId="2" fontId="0" fillId="0" borderId="28" xfId="0" applyNumberFormat="1" applyBorder="1" applyAlignment="1">
      <alignment horizontal="center"/>
    </xf>
    <xf numFmtId="164" fontId="0" fillId="16" borderId="53" xfId="0" applyNumberFormat="1" applyFill="1" applyBorder="1" applyAlignment="1">
      <alignment horizontal="left" vertical="center"/>
    </xf>
    <xf numFmtId="0" fontId="42" fillId="0" borderId="0" xfId="0" applyFont="1" applyFill="1" applyBorder="1" applyAlignment="1">
      <alignment horizontal="center" vertical="center"/>
    </xf>
    <xf numFmtId="0" fontId="4" fillId="0" borderId="0" xfId="0" applyFont="1" applyFill="1" applyBorder="1" applyAlignment="1">
      <alignment vertical="center"/>
    </xf>
    <xf numFmtId="0" fontId="4" fillId="8" borderId="53" xfId="0" applyFont="1" applyFill="1" applyBorder="1" applyAlignment="1">
      <alignment vertical="center"/>
    </xf>
    <xf numFmtId="0" fontId="0" fillId="8" borderId="57" xfId="0" applyFill="1" applyBorder="1" applyAlignment="1">
      <alignment vertical="center"/>
    </xf>
    <xf numFmtId="0" fontId="42" fillId="8" borderId="25" xfId="0" applyFont="1" applyFill="1" applyBorder="1" applyAlignment="1">
      <alignment horizontal="center" vertical="center"/>
    </xf>
    <xf numFmtId="0" fontId="42" fillId="8" borderId="20" xfId="0" applyFont="1" applyFill="1" applyBorder="1" applyAlignment="1">
      <alignment horizontal="center" vertical="center"/>
    </xf>
    <xf numFmtId="0" fontId="0" fillId="16" borderId="53" xfId="0" applyNumberFormat="1" applyFill="1" applyBorder="1" applyAlignment="1">
      <alignment horizontal="left" vertical="center"/>
    </xf>
    <xf numFmtId="0" fontId="42" fillId="0" borderId="50" xfId="0" applyFont="1" applyBorder="1" applyAlignment="1">
      <alignment horizontal="center" vertical="center"/>
    </xf>
    <xf numFmtId="0" fontId="0" fillId="0" borderId="58" xfId="0" applyBorder="1" applyAlignment="1">
      <alignment vertical="center"/>
    </xf>
    <xf numFmtId="0" fontId="42" fillId="0" borderId="58" xfId="0" applyFont="1" applyBorder="1" applyAlignment="1">
      <alignment horizontal="center" vertical="center"/>
    </xf>
    <xf numFmtId="0" fontId="0" fillId="0" borderId="58" xfId="0" applyBorder="1" applyAlignment="1">
      <alignment horizontal="left" vertical="center"/>
    </xf>
    <xf numFmtId="0" fontId="0" fillId="0" borderId="61" xfId="0" applyBorder="1" applyAlignment="1">
      <alignment vertical="center"/>
    </xf>
    <xf numFmtId="0" fontId="0" fillId="0" borderId="0" xfId="0" applyFill="1" applyBorder="1" applyAlignment="1">
      <alignment vertical="center" wrapText="1"/>
    </xf>
    <xf numFmtId="0" fontId="42" fillId="0" borderId="55" xfId="0" applyFont="1" applyFill="1" applyBorder="1" applyAlignment="1">
      <alignment horizontal="center" vertical="center"/>
    </xf>
    <xf numFmtId="0" fontId="0" fillId="0" borderId="0" xfId="0" applyFill="1" applyBorder="1" applyAlignment="1">
      <alignment horizontal="left" vertical="center"/>
    </xf>
    <xf numFmtId="0" fontId="55" fillId="0" borderId="0" xfId="0" applyFont="1"/>
    <xf numFmtId="0" fontId="55" fillId="0" borderId="0" xfId="0" applyFont="1" applyFill="1"/>
    <xf numFmtId="1" fontId="0" fillId="16" borderId="1" xfId="0" applyNumberFormat="1" applyFill="1" applyBorder="1" applyAlignment="1">
      <alignment horizontal="center" vertical="center"/>
    </xf>
    <xf numFmtId="1" fontId="0" fillId="0" borderId="0" xfId="0" applyNumberFormat="1" applyBorder="1" applyAlignment="1">
      <alignment horizontal="left" vertical="center"/>
    </xf>
    <xf numFmtId="0" fontId="4" fillId="0" borderId="0" xfId="0" applyFont="1" applyBorder="1" applyProtection="1"/>
    <xf numFmtId="0" fontId="19" fillId="0" borderId="0" xfId="0" applyFont="1" applyBorder="1" applyAlignment="1" applyProtection="1">
      <alignment horizontal="center"/>
    </xf>
    <xf numFmtId="0" fontId="19" fillId="0" borderId="0" xfId="0" applyFont="1" applyBorder="1" applyProtection="1"/>
    <xf numFmtId="2" fontId="0" fillId="16" borderId="53" xfId="0" applyNumberFormat="1" applyFill="1" applyBorder="1" applyAlignment="1">
      <alignment vertical="center"/>
    </xf>
    <xf numFmtId="0" fontId="8" fillId="0" borderId="0" xfId="0" applyFont="1" applyAlignment="1">
      <alignment horizontal="left"/>
    </xf>
    <xf numFmtId="164" fontId="18" fillId="9" borderId="1" xfId="0" applyNumberFormat="1" applyFont="1" applyFill="1" applyBorder="1" applyAlignment="1" applyProtection="1"/>
    <xf numFmtId="0" fontId="56" fillId="0" borderId="0" xfId="0" applyFont="1" applyBorder="1"/>
    <xf numFmtId="0" fontId="56" fillId="0" borderId="0" xfId="0" applyFont="1" applyFill="1" applyBorder="1"/>
    <xf numFmtId="0" fontId="57" fillId="0" borderId="0" xfId="0" applyFont="1"/>
    <xf numFmtId="0" fontId="57" fillId="3" borderId="0" xfId="0" applyFont="1" applyFill="1"/>
    <xf numFmtId="0" fontId="4" fillId="0" borderId="0" xfId="0" applyFont="1" applyFill="1" applyBorder="1" applyProtection="1"/>
    <xf numFmtId="0" fontId="12" fillId="0" borderId="0" xfId="0" applyFont="1" applyFill="1" applyBorder="1" applyAlignment="1" applyProtection="1">
      <alignment horizontal="center"/>
    </xf>
    <xf numFmtId="0" fontId="0" fillId="0" borderId="0" xfId="0" applyFill="1" applyBorder="1" applyProtection="1"/>
    <xf numFmtId="0" fontId="13" fillId="6" borderId="53" xfId="0" applyFont="1" applyFill="1" applyBorder="1" applyAlignment="1" applyProtection="1">
      <alignment horizontal="left" vertical="center"/>
    </xf>
    <xf numFmtId="165" fontId="17" fillId="6" borderId="57" xfId="0" applyNumberFormat="1" applyFont="1" applyFill="1" applyBorder="1" applyAlignment="1" applyProtection="1">
      <alignment horizontal="center"/>
    </xf>
    <xf numFmtId="0" fontId="17" fillId="6" borderId="57" xfId="0" applyFont="1" applyFill="1" applyBorder="1" applyProtection="1"/>
    <xf numFmtId="0" fontId="13" fillId="0" borderId="55" xfId="0" applyFont="1" applyFill="1" applyBorder="1" applyAlignment="1" applyProtection="1">
      <alignment horizontal="left" vertical="center"/>
    </xf>
    <xf numFmtId="165" fontId="17" fillId="0" borderId="0" xfId="0" applyNumberFormat="1" applyFont="1" applyFill="1" applyBorder="1" applyAlignment="1" applyProtection="1">
      <alignment horizontal="center"/>
    </xf>
    <xf numFmtId="0" fontId="17" fillId="0" borderId="0" xfId="0" applyFont="1" applyFill="1" applyBorder="1" applyProtection="1"/>
    <xf numFmtId="0" fontId="4" fillId="4" borderId="53" xfId="0" applyFont="1" applyFill="1" applyBorder="1" applyProtection="1"/>
    <xf numFmtId="0" fontId="0" fillId="4" borderId="57" xfId="0" applyFill="1" applyBorder="1" applyProtection="1"/>
    <xf numFmtId="0" fontId="4" fillId="0" borderId="55" xfId="0" applyFont="1" applyFill="1" applyBorder="1" applyAlignment="1" applyProtection="1">
      <alignment vertical="center"/>
    </xf>
    <xf numFmtId="0" fontId="19" fillId="0" borderId="0" xfId="0" applyFont="1" applyFill="1" applyBorder="1" applyProtection="1"/>
    <xf numFmtId="0" fontId="19" fillId="0" borderId="0" xfId="0" applyFont="1" applyFill="1" applyBorder="1" applyAlignment="1" applyProtection="1">
      <alignment horizontal="center"/>
    </xf>
    <xf numFmtId="0" fontId="36" fillId="0" borderId="0" xfId="0" applyFont="1" applyBorder="1" applyProtection="1"/>
    <xf numFmtId="0" fontId="4" fillId="4" borderId="53" xfId="0" applyFont="1" applyFill="1" applyBorder="1" applyAlignment="1" applyProtection="1">
      <alignment horizontal="left" vertical="center"/>
    </xf>
    <xf numFmtId="165" fontId="12" fillId="4" borderId="57" xfId="0" applyNumberFormat="1" applyFont="1" applyFill="1" applyBorder="1" applyAlignment="1" applyProtection="1">
      <alignment horizontal="center"/>
    </xf>
    <xf numFmtId="0" fontId="12" fillId="4" borderId="57" xfId="0" applyFont="1" applyFill="1" applyBorder="1" applyProtection="1"/>
    <xf numFmtId="0" fontId="12" fillId="4" borderId="57" xfId="0" applyFont="1" applyFill="1" applyBorder="1" applyAlignment="1" applyProtection="1">
      <alignment horizontal="center"/>
    </xf>
    <xf numFmtId="0" fontId="18" fillId="4" borderId="57" xfId="0" applyFont="1" applyFill="1" applyBorder="1" applyAlignment="1" applyProtection="1">
      <alignment horizontal="center"/>
    </xf>
    <xf numFmtId="0" fontId="18" fillId="4" borderId="57" xfId="0" applyFont="1" applyFill="1" applyBorder="1" applyProtection="1"/>
    <xf numFmtId="0" fontId="0" fillId="4" borderId="25" xfId="0" applyFill="1" applyBorder="1" applyProtection="1"/>
    <xf numFmtId="0" fontId="0" fillId="0" borderId="56" xfId="0" applyFill="1" applyBorder="1" applyProtection="1"/>
    <xf numFmtId="0" fontId="4" fillId="0" borderId="59" xfId="0" applyFont="1" applyBorder="1" applyAlignment="1" applyProtection="1">
      <alignment horizontal="left" vertical="center"/>
    </xf>
    <xf numFmtId="165" fontId="8" fillId="0" borderId="60" xfId="0" applyNumberFormat="1" applyFont="1" applyFill="1" applyBorder="1" applyAlignment="1" applyProtection="1">
      <alignment horizontal="left" vertical="center" wrapText="1"/>
    </xf>
    <xf numFmtId="0" fontId="8" fillId="0" borderId="60" xfId="0" applyFont="1" applyBorder="1" applyAlignment="1" applyProtection="1">
      <alignment horizontal="left" vertical="center" wrapText="1"/>
    </xf>
    <xf numFmtId="0" fontId="37" fillId="0" borderId="60" xfId="0" applyFont="1" applyBorder="1" applyAlignment="1" applyProtection="1">
      <alignment horizontal="center" vertical="center" wrapText="1"/>
    </xf>
    <xf numFmtId="0" fontId="37" fillId="0" borderId="60" xfId="0" applyFont="1" applyBorder="1" applyAlignment="1" applyProtection="1">
      <alignment horizontal="left" vertical="center" wrapText="1"/>
    </xf>
    <xf numFmtId="0" fontId="0" fillId="0" borderId="24" xfId="0" applyFill="1" applyBorder="1" applyProtection="1"/>
    <xf numFmtId="0" fontId="4" fillId="0" borderId="0" xfId="0" applyFont="1" applyProtection="1"/>
    <xf numFmtId="0" fontId="19" fillId="0" borderId="0" xfId="0" applyFont="1" applyAlignment="1" applyProtection="1">
      <alignment horizontal="center"/>
    </xf>
    <xf numFmtId="0" fontId="19" fillId="0" borderId="0" xfId="0" applyFont="1" applyProtection="1"/>
    <xf numFmtId="0" fontId="19" fillId="0" borderId="60" xfId="0" applyFont="1" applyBorder="1" applyAlignment="1" applyProtection="1">
      <alignment horizontal="center"/>
    </xf>
    <xf numFmtId="164" fontId="18" fillId="0" borderId="0" xfId="0" applyNumberFormat="1" applyFont="1" applyFill="1" applyBorder="1" applyAlignment="1" applyProtection="1">
      <alignment horizontal="center"/>
    </xf>
    <xf numFmtId="0" fontId="19" fillId="0" borderId="59" xfId="0" applyFont="1" applyBorder="1" applyAlignment="1" applyProtection="1">
      <alignment horizontal="center"/>
    </xf>
    <xf numFmtId="164" fontId="18" fillId="0" borderId="60" xfId="0" applyNumberFormat="1" applyFont="1" applyFill="1" applyBorder="1" applyAlignment="1" applyProtection="1">
      <alignment horizontal="center"/>
    </xf>
    <xf numFmtId="0" fontId="4" fillId="0" borderId="60" xfId="0" applyFont="1" applyBorder="1" applyProtection="1"/>
    <xf numFmtId="0" fontId="19" fillId="0" borderId="60" xfId="0" applyFont="1" applyBorder="1" applyProtection="1"/>
    <xf numFmtId="0" fontId="25" fillId="0" borderId="0" xfId="0" applyFont="1" applyAlignment="1" applyProtection="1">
      <alignment horizontal="center" vertical="center"/>
    </xf>
    <xf numFmtId="164" fontId="12" fillId="0" borderId="0" xfId="0" applyNumberFormat="1" applyFont="1" applyFill="1" applyBorder="1" applyProtection="1"/>
    <xf numFmtId="0" fontId="4" fillId="0" borderId="0" xfId="0" applyFont="1" applyAlignment="1" applyProtection="1">
      <alignment horizontal="center"/>
    </xf>
    <xf numFmtId="0" fontId="50" fillId="6" borderId="53" xfId="0" applyFont="1" applyFill="1" applyBorder="1" applyProtection="1"/>
    <xf numFmtId="0" fontId="4" fillId="6" borderId="57" xfId="0" applyFont="1" applyFill="1" applyBorder="1" applyProtection="1"/>
    <xf numFmtId="164" fontId="4" fillId="6" borderId="57" xfId="0" applyNumberFormat="1" applyFont="1" applyFill="1" applyBorder="1" applyProtection="1"/>
    <xf numFmtId="0" fontId="4" fillId="6" borderId="57" xfId="0" applyFont="1" applyFill="1" applyBorder="1" applyAlignment="1" applyProtection="1">
      <alignment horizontal="center"/>
    </xf>
    <xf numFmtId="164" fontId="19" fillId="6" borderId="57" xfId="0" applyNumberFormat="1" applyFont="1" applyFill="1" applyBorder="1" applyAlignment="1" applyProtection="1">
      <alignment horizontal="center"/>
    </xf>
    <xf numFmtId="0" fontId="19" fillId="6" borderId="57" xfId="0" applyFont="1" applyFill="1" applyBorder="1" applyProtection="1"/>
    <xf numFmtId="0" fontId="0" fillId="6" borderId="25" xfId="0" applyFill="1" applyBorder="1" applyProtection="1"/>
    <xf numFmtId="0" fontId="4" fillId="0" borderId="55" xfId="0" applyFont="1" applyBorder="1" applyProtection="1"/>
    <xf numFmtId="0" fontId="4" fillId="0" borderId="0" xfId="0" applyFont="1" applyBorder="1" applyAlignment="1" applyProtection="1">
      <alignment horizontal="center"/>
    </xf>
    <xf numFmtId="0" fontId="0" fillId="0" borderId="56" xfId="0" applyBorder="1" applyProtection="1"/>
    <xf numFmtId="0" fontId="41" fillId="0" borderId="0" xfId="0" applyFont="1" applyBorder="1" applyProtection="1"/>
    <xf numFmtId="1" fontId="4" fillId="0" borderId="0" xfId="0" applyNumberFormat="1" applyFont="1" applyFill="1" applyBorder="1" applyProtection="1"/>
    <xf numFmtId="0" fontId="13" fillId="6" borderId="53" xfId="0" applyFont="1" applyFill="1" applyBorder="1" applyProtection="1"/>
    <xf numFmtId="0" fontId="19" fillId="6" borderId="57" xfId="0" applyFont="1" applyFill="1" applyBorder="1" applyAlignment="1" applyProtection="1">
      <alignment horizontal="center"/>
    </xf>
    <xf numFmtId="0" fontId="18" fillId="9" borderId="55" xfId="0" applyFont="1" applyFill="1" applyBorder="1" applyProtection="1"/>
    <xf numFmtId="0" fontId="12" fillId="9" borderId="0" xfId="0" applyFont="1" applyFill="1" applyBorder="1" applyProtection="1"/>
    <xf numFmtId="164" fontId="18" fillId="9" borderId="19" xfId="0" applyNumberFormat="1" applyFont="1" applyFill="1" applyBorder="1" applyAlignment="1" applyProtection="1"/>
    <xf numFmtId="0" fontId="18" fillId="9" borderId="0" xfId="0" applyFont="1" applyFill="1" applyBorder="1" applyProtection="1"/>
    <xf numFmtId="0" fontId="18" fillId="9" borderId="0" xfId="0" applyFont="1" applyFill="1" applyBorder="1" applyAlignment="1" applyProtection="1">
      <alignment horizontal="center"/>
    </xf>
    <xf numFmtId="0" fontId="0" fillId="9" borderId="56" xfId="0" applyFill="1" applyBorder="1" applyProtection="1"/>
    <xf numFmtId="164" fontId="18" fillId="9" borderId="0" xfId="0" applyNumberFormat="1" applyFont="1" applyFill="1" applyBorder="1" applyAlignment="1" applyProtection="1"/>
    <xf numFmtId="0" fontId="52" fillId="9" borderId="56" xfId="0" applyFont="1" applyFill="1" applyBorder="1" applyProtection="1"/>
    <xf numFmtId="0" fontId="4" fillId="9" borderId="59" xfId="0" applyFont="1" applyFill="1" applyBorder="1" applyProtection="1"/>
    <xf numFmtId="0" fontId="4" fillId="9" borderId="60" xfId="0" applyFont="1" applyFill="1" applyBorder="1" applyProtection="1"/>
    <xf numFmtId="164" fontId="4" fillId="9" borderId="60" xfId="0" applyNumberFormat="1" applyFont="1" applyFill="1" applyBorder="1" applyAlignment="1" applyProtection="1"/>
    <xf numFmtId="0" fontId="19" fillId="9" borderId="60" xfId="0" applyFont="1" applyFill="1" applyBorder="1" applyAlignment="1" applyProtection="1">
      <alignment horizontal="center"/>
    </xf>
    <xf numFmtId="0" fontId="19" fillId="9" borderId="60" xfId="0" applyFont="1" applyFill="1" applyBorder="1" applyProtection="1"/>
    <xf numFmtId="0" fontId="0" fillId="9" borderId="24" xfId="0" applyFill="1" applyBorder="1" applyProtection="1"/>
    <xf numFmtId="0" fontId="4" fillId="0" borderId="0" xfId="0" applyFont="1" applyFill="1" applyProtection="1"/>
    <xf numFmtId="0" fontId="19" fillId="0" borderId="0" xfId="0" applyFont="1" applyFill="1" applyAlignment="1" applyProtection="1">
      <alignment horizontal="center"/>
    </xf>
    <xf numFmtId="0" fontId="19" fillId="0" borderId="0" xfId="0" applyFont="1" applyFill="1" applyProtection="1"/>
    <xf numFmtId="0" fontId="0" fillId="0" borderId="0" xfId="0" applyFill="1" applyProtection="1"/>
    <xf numFmtId="0" fontId="27" fillId="4" borderId="57" xfId="0" applyFont="1" applyFill="1" applyBorder="1" applyProtection="1"/>
    <xf numFmtId="2" fontId="19" fillId="4" borderId="57" xfId="0" applyNumberFormat="1" applyFont="1" applyFill="1" applyBorder="1" applyAlignment="1" applyProtection="1">
      <alignment horizontal="center"/>
    </xf>
    <xf numFmtId="0" fontId="19" fillId="4" borderId="57" xfId="0" applyFont="1" applyFill="1" applyBorder="1" applyProtection="1"/>
    <xf numFmtId="0" fontId="4" fillId="0" borderId="55" xfId="0" applyFont="1" applyFill="1" applyBorder="1" applyProtection="1"/>
    <xf numFmtId="0" fontId="25" fillId="8" borderId="53" xfId="0" applyFont="1" applyFill="1" applyBorder="1" applyAlignment="1" applyProtection="1">
      <alignment horizontal="center" vertical="center"/>
    </xf>
    <xf numFmtId="0" fontId="37" fillId="0" borderId="0" xfId="0" applyFont="1" applyFill="1" applyBorder="1" applyProtection="1"/>
    <xf numFmtId="0" fontId="37" fillId="0" borderId="55" xfId="0" applyFont="1" applyBorder="1" applyProtection="1"/>
    <xf numFmtId="0" fontId="37" fillId="0" borderId="0" xfId="0" applyFont="1" applyBorder="1" applyProtection="1"/>
    <xf numFmtId="0" fontId="37" fillId="0" borderId="55" xfId="0" applyFont="1" applyBorder="1" applyAlignment="1" applyProtection="1">
      <alignment horizontal="left" vertical="center"/>
    </xf>
    <xf numFmtId="165" fontId="37" fillId="0" borderId="0" xfId="0" applyNumberFormat="1" applyFont="1" applyFill="1" applyBorder="1" applyAlignment="1" applyProtection="1">
      <alignment horizontal="center"/>
    </xf>
    <xf numFmtId="0" fontId="37" fillId="0" borderId="55" xfId="0" applyFont="1" applyBorder="1" applyAlignment="1">
      <alignment horizontal="left" vertical="center"/>
    </xf>
    <xf numFmtId="0" fontId="37" fillId="0" borderId="59" xfId="0" applyFont="1" applyBorder="1"/>
    <xf numFmtId="0" fontId="37" fillId="8" borderId="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48" fillId="0" borderId="0" xfId="0" applyFont="1" applyFill="1" applyBorder="1" applyAlignment="1">
      <alignment horizontal="left"/>
    </xf>
    <xf numFmtId="164" fontId="37" fillId="0" borderId="1" xfId="0" applyNumberFormat="1" applyFont="1" applyFill="1" applyBorder="1" applyAlignment="1" applyProtection="1">
      <alignment horizontal="center"/>
      <protection locked="0"/>
    </xf>
    <xf numFmtId="0" fontId="37" fillId="0" borderId="0" xfId="0" applyFont="1" applyFill="1" applyBorder="1" applyAlignment="1">
      <alignment horizontal="center" vertical="center"/>
    </xf>
    <xf numFmtId="0" fontId="37" fillId="0" borderId="0" xfId="0" applyFont="1" applyBorder="1" applyAlignment="1">
      <alignment horizontal="center"/>
    </xf>
    <xf numFmtId="164" fontId="37" fillId="16" borderId="1" xfId="0" applyNumberFormat="1" applyFont="1" applyFill="1" applyBorder="1" applyAlignment="1">
      <alignment horizontal="center"/>
    </xf>
    <xf numFmtId="0" fontId="37" fillId="0" borderId="0" xfId="0" applyFont="1" applyFill="1" applyBorder="1" applyAlignment="1" applyProtection="1">
      <alignment horizontal="center"/>
      <protection locked="0"/>
    </xf>
    <xf numFmtId="164" fontId="48" fillId="0" borderId="0" xfId="0" applyNumberFormat="1" applyFont="1" applyFill="1" applyBorder="1" applyAlignment="1">
      <alignment horizontal="center"/>
    </xf>
    <xf numFmtId="0" fontId="37" fillId="16" borderId="1" xfId="0" applyFont="1" applyFill="1" applyBorder="1" applyAlignment="1" applyProtection="1">
      <alignment horizontal="center"/>
    </xf>
    <xf numFmtId="0" fontId="37" fillId="0" borderId="60" xfId="0" applyFont="1" applyFill="1" applyBorder="1" applyAlignment="1" applyProtection="1">
      <alignment horizontal="center"/>
    </xf>
    <xf numFmtId="0" fontId="37" fillId="0" borderId="60" xfId="0" applyFont="1" applyBorder="1" applyAlignment="1" applyProtection="1">
      <alignment horizontal="center"/>
    </xf>
    <xf numFmtId="164" fontId="37" fillId="16" borderId="1" xfId="0" applyNumberFormat="1" applyFont="1" applyFill="1" applyBorder="1" applyAlignment="1" applyProtection="1">
      <alignment horizontal="center"/>
    </xf>
    <xf numFmtId="0" fontId="37" fillId="0" borderId="55"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Fill="1" applyBorder="1" applyAlignment="1">
      <alignment horizontal="center" vertical="center" wrapText="1"/>
    </xf>
    <xf numFmtId="0" fontId="8" fillId="0" borderId="56" xfId="0" applyFont="1" applyBorder="1" applyAlignment="1">
      <alignment horizontal="center" vertical="center" wrapText="1"/>
    </xf>
    <xf numFmtId="0" fontId="48" fillId="0" borderId="55" xfId="0" applyFont="1" applyFill="1" applyBorder="1"/>
    <xf numFmtId="0" fontId="48" fillId="0" borderId="0" xfId="0" applyFont="1" applyFill="1" applyBorder="1"/>
    <xf numFmtId="0" fontId="29" fillId="0" borderId="0" xfId="0" applyFont="1" applyFill="1" applyBorder="1"/>
    <xf numFmtId="0" fontId="8" fillId="0" borderId="56" xfId="0" applyFont="1" applyFill="1" applyBorder="1"/>
    <xf numFmtId="2" fontId="37" fillId="0" borderId="1" xfId="0" applyNumberFormat="1" applyFont="1" applyBorder="1" applyAlignment="1" applyProtection="1">
      <alignment horizontal="center"/>
      <protection locked="0"/>
    </xf>
    <xf numFmtId="2" fontId="37" fillId="0" borderId="0" xfId="0" applyNumberFormat="1" applyFont="1" applyBorder="1" applyAlignment="1">
      <alignment horizontal="center"/>
    </xf>
    <xf numFmtId="2" fontId="37" fillId="0" borderId="0" xfId="0" applyNumberFormat="1" applyFont="1" applyBorder="1"/>
    <xf numFmtId="2" fontId="37" fillId="16" borderId="1" xfId="0" applyNumberFormat="1" applyFont="1" applyFill="1" applyBorder="1" applyAlignment="1">
      <alignment horizontal="center"/>
    </xf>
    <xf numFmtId="0" fontId="8" fillId="0" borderId="56" xfId="0" applyFont="1" applyBorder="1"/>
    <xf numFmtId="2" fontId="8" fillId="16" borderId="1" xfId="0" applyNumberFormat="1" applyFont="1" applyFill="1" applyBorder="1"/>
    <xf numFmtId="0" fontId="51" fillId="0" borderId="0" xfId="0" applyFont="1"/>
    <xf numFmtId="2" fontId="37" fillId="0" borderId="20" xfId="0" applyNumberFormat="1" applyFont="1" applyBorder="1" applyAlignment="1" applyProtection="1">
      <alignment horizontal="center"/>
      <protection locked="0"/>
    </xf>
    <xf numFmtId="2" fontId="37" fillId="0" borderId="0" xfId="0" applyNumberFormat="1" applyFont="1" applyBorder="1" applyProtection="1">
      <protection locked="0"/>
    </xf>
    <xf numFmtId="164" fontId="37" fillId="0" borderId="0" xfId="0" applyNumberFormat="1" applyFont="1" applyFill="1" applyBorder="1"/>
    <xf numFmtId="2" fontId="37" fillId="0" borderId="0" xfId="0" applyNumberFormat="1" applyFont="1" applyFill="1" applyBorder="1"/>
    <xf numFmtId="2" fontId="42" fillId="8" borderId="1" xfId="0" applyNumberFormat="1" applyFont="1" applyFill="1" applyBorder="1" applyAlignment="1" applyProtection="1">
      <alignment horizontal="center" vertical="center" wrapText="1"/>
      <protection locked="0"/>
    </xf>
    <xf numFmtId="2" fontId="45" fillId="0" borderId="0" xfId="0" applyNumberFormat="1" applyFont="1" applyBorder="1" applyAlignment="1">
      <alignment horizontal="center" vertical="center" wrapText="1"/>
    </xf>
    <xf numFmtId="2" fontId="7" fillId="8" borderId="1" xfId="0" applyNumberFormat="1" applyFont="1" applyFill="1" applyBorder="1" applyAlignment="1" applyProtection="1">
      <alignment horizontal="center" vertical="center" wrapText="1"/>
      <protection locked="0"/>
    </xf>
    <xf numFmtId="164" fontId="8" fillId="0" borderId="0" xfId="0" applyNumberFormat="1" applyFont="1" applyFill="1" applyBorder="1" applyAlignment="1">
      <alignment horizontal="center"/>
    </xf>
    <xf numFmtId="2" fontId="42" fillId="0" borderId="0" xfId="0" applyNumberFormat="1" applyFont="1" applyBorder="1" applyAlignment="1" applyProtection="1">
      <alignment horizontal="center" vertical="center" wrapText="1"/>
      <protection locked="0"/>
    </xf>
    <xf numFmtId="2" fontId="7" fillId="0" borderId="0" xfId="0" applyNumberFormat="1" applyFont="1" applyBorder="1" applyAlignment="1" applyProtection="1">
      <alignment horizontal="center" vertical="center" wrapText="1"/>
      <protection locked="0"/>
    </xf>
    <xf numFmtId="0" fontId="37" fillId="0" borderId="55" xfId="0" applyFont="1" applyBorder="1" applyAlignment="1">
      <alignment vertical="center" wrapText="1"/>
    </xf>
    <xf numFmtId="2" fontId="37" fillId="0" borderId="1" xfId="0" applyNumberFormat="1" applyFont="1" applyBorder="1" applyAlignment="1" applyProtection="1">
      <alignment horizontal="center" vertical="center"/>
      <protection locked="0"/>
    </xf>
    <xf numFmtId="2" fontId="37" fillId="0" borderId="0" xfId="0" applyNumberFormat="1" applyFont="1" applyBorder="1" applyAlignment="1">
      <alignment horizontal="center" vertical="center"/>
    </xf>
    <xf numFmtId="2" fontId="8" fillId="0" borderId="0" xfId="0" applyNumberFormat="1" applyFont="1" applyBorder="1" applyAlignment="1">
      <alignment horizontal="center"/>
    </xf>
    <xf numFmtId="164" fontId="29" fillId="0" borderId="0" xfId="0" applyNumberFormat="1" applyFont="1" applyFill="1" applyBorder="1"/>
    <xf numFmtId="0" fontId="8" fillId="0" borderId="55" xfId="0" applyFont="1" applyBorder="1"/>
    <xf numFmtId="0" fontId="37" fillId="8" borderId="53" xfId="0" applyFont="1" applyFill="1" applyBorder="1" applyAlignment="1">
      <alignment horizontal="center" vertical="center"/>
    </xf>
    <xf numFmtId="0" fontId="37" fillId="8" borderId="1" xfId="0" applyFont="1" applyFill="1" applyBorder="1" applyAlignment="1">
      <alignment horizontal="center" vertical="center"/>
    </xf>
    <xf numFmtId="0" fontId="8" fillId="8" borderId="53" xfId="0" applyFont="1" applyFill="1" applyBorder="1"/>
    <xf numFmtId="0" fontId="37" fillId="8" borderId="57" xfId="0" applyFont="1" applyFill="1" applyBorder="1" applyAlignment="1">
      <alignment horizontal="center" vertical="center"/>
    </xf>
    <xf numFmtId="0" fontId="8" fillId="8" borderId="25" xfId="0" applyFont="1" applyFill="1" applyBorder="1"/>
    <xf numFmtId="0" fontId="37" fillId="0" borderId="55" xfId="0" applyFont="1" applyBorder="1" applyAlignment="1">
      <alignment horizontal="left"/>
    </xf>
    <xf numFmtId="0" fontId="37" fillId="0" borderId="19" xfId="0" applyFont="1" applyBorder="1" applyAlignment="1" applyProtection="1">
      <alignment horizontal="center"/>
      <protection locked="0"/>
    </xf>
    <xf numFmtId="0" fontId="37" fillId="0" borderId="1" xfId="0" applyFont="1" applyBorder="1" applyAlignment="1" applyProtection="1">
      <alignment horizontal="center"/>
      <protection locked="0"/>
    </xf>
    <xf numFmtId="2" fontId="37" fillId="0" borderId="19" xfId="0" applyNumberFormat="1" applyFont="1" applyBorder="1" applyAlignment="1" applyProtection="1">
      <alignment horizontal="center"/>
    </xf>
    <xf numFmtId="2" fontId="37" fillId="0" borderId="1" xfId="0" applyNumberFormat="1" applyFont="1" applyBorder="1" applyAlignment="1" applyProtection="1">
      <alignment horizontal="center"/>
    </xf>
    <xf numFmtId="0" fontId="37" fillId="0" borderId="55" xfId="0" applyFont="1" applyBorder="1" applyAlignment="1" applyProtection="1">
      <alignment horizontal="center"/>
    </xf>
    <xf numFmtId="0" fontId="37" fillId="0" borderId="0" xfId="0" applyFont="1" applyBorder="1" applyAlignment="1" applyProtection="1">
      <alignment horizontal="center"/>
    </xf>
    <xf numFmtId="2" fontId="37" fillId="16" borderId="1" xfId="0" applyNumberFormat="1" applyFont="1" applyFill="1" applyBorder="1" applyAlignment="1" applyProtection="1">
      <alignment horizontal="center"/>
    </xf>
    <xf numFmtId="164" fontId="48" fillId="0" borderId="0" xfId="0" applyNumberFormat="1" applyFont="1" applyFill="1" applyBorder="1" applyAlignment="1" applyProtection="1">
      <alignment horizontal="center"/>
    </xf>
    <xf numFmtId="0" fontId="8" fillId="0" borderId="0" xfId="0" applyFont="1" applyBorder="1" applyProtection="1"/>
    <xf numFmtId="0" fontId="37" fillId="0" borderId="55" xfId="0" applyFont="1" applyFill="1" applyBorder="1"/>
    <xf numFmtId="0" fontId="37" fillId="8" borderId="53" xfId="0" applyFont="1" applyFill="1" applyBorder="1"/>
    <xf numFmtId="0" fontId="37" fillId="8" borderId="57" xfId="0" applyFont="1" applyFill="1" applyBorder="1"/>
    <xf numFmtId="0" fontId="37" fillId="8" borderId="25" xfId="0" applyFont="1" applyFill="1" applyBorder="1"/>
    <xf numFmtId="0" fontId="37" fillId="16" borderId="1" xfId="0" applyFont="1" applyFill="1" applyBorder="1" applyAlignment="1">
      <alignment horizontal="center"/>
    </xf>
    <xf numFmtId="0" fontId="58" fillId="8" borderId="57" xfId="0" applyFont="1" applyFill="1" applyBorder="1"/>
    <xf numFmtId="2" fontId="37" fillId="0" borderId="0" xfId="0" applyNumberFormat="1" applyFont="1" applyFill="1" applyBorder="1" applyAlignment="1">
      <alignment horizontal="center"/>
    </xf>
    <xf numFmtId="0" fontId="37" fillId="0" borderId="53" xfId="0" applyFont="1" applyBorder="1"/>
    <xf numFmtId="0" fontId="37" fillId="0" borderId="57" xfId="0" applyFont="1" applyBorder="1"/>
    <xf numFmtId="0" fontId="37" fillId="0" borderId="25" xfId="0" applyFont="1" applyBorder="1"/>
    <xf numFmtId="0" fontId="37" fillId="17" borderId="14" xfId="0" applyFont="1" applyFill="1" applyBorder="1" applyAlignment="1" applyProtection="1">
      <alignment horizontal="center"/>
      <protection locked="0"/>
    </xf>
    <xf numFmtId="0" fontId="8" fillId="0" borderId="55" xfId="0" applyFont="1" applyBorder="1" applyProtection="1"/>
    <xf numFmtId="2" fontId="37" fillId="0" borderId="0" xfId="0" applyNumberFormat="1" applyFont="1" applyFill="1" applyBorder="1" applyAlignment="1" applyProtection="1">
      <alignment horizontal="center"/>
    </xf>
    <xf numFmtId="0" fontId="37" fillId="8" borderId="53" xfId="0" applyFont="1" applyFill="1" applyBorder="1" applyProtection="1"/>
    <xf numFmtId="0" fontId="8" fillId="8" borderId="57" xfId="0" applyFont="1" applyFill="1" applyBorder="1" applyProtection="1"/>
    <xf numFmtId="0" fontId="8" fillId="8" borderId="25" xfId="0" applyFont="1" applyFill="1" applyBorder="1" applyProtection="1"/>
    <xf numFmtId="0" fontId="8" fillId="0" borderId="0" xfId="0" applyFont="1" applyFill="1" applyBorder="1" applyProtection="1"/>
    <xf numFmtId="0" fontId="37" fillId="0" borderId="0" xfId="0" applyFont="1" applyFill="1" applyBorder="1" applyAlignment="1" applyProtection="1">
      <alignment horizontal="center"/>
    </xf>
    <xf numFmtId="0" fontId="37" fillId="0" borderId="55" xfId="0" applyFont="1" applyFill="1" applyBorder="1" applyProtection="1"/>
    <xf numFmtId="0" fontId="59" fillId="8" borderId="57" xfId="0" applyFont="1" applyFill="1" applyBorder="1" applyProtection="1"/>
    <xf numFmtId="0" fontId="59" fillId="0" borderId="0" xfId="0" applyFont="1" applyBorder="1" applyProtection="1"/>
    <xf numFmtId="2" fontId="37" fillId="0" borderId="1" xfId="0" applyNumberFormat="1" applyFont="1" applyFill="1" applyBorder="1" applyAlignment="1" applyProtection="1">
      <alignment horizontal="center"/>
      <protection locked="0"/>
    </xf>
    <xf numFmtId="0" fontId="37" fillId="8" borderId="57" xfId="0" applyFont="1" applyFill="1" applyBorder="1" applyProtection="1"/>
    <xf numFmtId="0" fontId="37" fillId="8" borderId="25" xfId="0" applyFont="1" applyFill="1" applyBorder="1" applyProtection="1"/>
    <xf numFmtId="0" fontId="8" fillId="0" borderId="57" xfId="0" applyFont="1" applyBorder="1"/>
    <xf numFmtId="0" fontId="8" fillId="0" borderId="25" xfId="0" applyFont="1" applyBorder="1"/>
    <xf numFmtId="0" fontId="37" fillId="17" borderId="1" xfId="0" applyFont="1" applyFill="1" applyBorder="1" applyAlignment="1" applyProtection="1">
      <alignment horizontal="center"/>
      <protection locked="0"/>
    </xf>
    <xf numFmtId="0" fontId="37" fillId="0" borderId="16" xfId="0" applyFont="1" applyBorder="1"/>
    <xf numFmtId="2" fontId="37" fillId="8" borderId="1" xfId="0" applyNumberFormat="1" applyFont="1" applyFill="1" applyBorder="1" applyAlignment="1">
      <alignment horizontal="center" vertical="center" wrapText="1"/>
    </xf>
    <xf numFmtId="0" fontId="58" fillId="0" borderId="0" xfId="0" applyFont="1" applyBorder="1" applyAlignment="1">
      <alignment horizontal="center"/>
    </xf>
    <xf numFmtId="0" fontId="37" fillId="0" borderId="17" xfId="0" applyFont="1" applyBorder="1"/>
    <xf numFmtId="0" fontId="37" fillId="0" borderId="4" xfId="0" applyFont="1" applyBorder="1"/>
    <xf numFmtId="0" fontId="37" fillId="0" borderId="4" xfId="0" applyFont="1" applyBorder="1" applyAlignment="1">
      <alignment horizontal="center"/>
    </xf>
    <xf numFmtId="164" fontId="37" fillId="16" borderId="12" xfId="0" applyNumberFormat="1" applyFont="1" applyFill="1" applyBorder="1" applyAlignment="1" applyProtection="1">
      <alignment horizontal="center"/>
    </xf>
    <xf numFmtId="0" fontId="8" fillId="0" borderId="1" xfId="0" applyFont="1" applyBorder="1" applyAlignment="1" applyProtection="1">
      <alignment horizontal="center"/>
      <protection locked="0"/>
    </xf>
    <xf numFmtId="0" fontId="37" fillId="0" borderId="3" xfId="0" applyFont="1" applyBorder="1"/>
    <xf numFmtId="0" fontId="28" fillId="0" borderId="0" xfId="0" applyFont="1" applyBorder="1"/>
    <xf numFmtId="0" fontId="25" fillId="0" borderId="0" xfId="0" applyFont="1" applyBorder="1" applyAlignment="1" applyProtection="1">
      <alignment horizontal="center"/>
      <protection locked="0"/>
    </xf>
    <xf numFmtId="0" fontId="59" fillId="0" borderId="0" xfId="0" applyFont="1" applyBorder="1"/>
    <xf numFmtId="0" fontId="37" fillId="0" borderId="0" xfId="0" applyFont="1" applyAlignment="1">
      <alignment horizontal="center"/>
    </xf>
    <xf numFmtId="0" fontId="60" fillId="0" borderId="55" xfId="0" applyFont="1" applyFill="1" applyBorder="1"/>
    <xf numFmtId="1" fontId="18" fillId="9" borderId="1" xfId="0" applyNumberFormat="1" applyFont="1" applyFill="1" applyBorder="1" applyAlignment="1">
      <alignment horizontal="center"/>
    </xf>
    <xf numFmtId="165" fontId="18" fillId="9" borderId="1" xfId="0" applyNumberFormat="1" applyFont="1" applyFill="1" applyBorder="1" applyAlignment="1">
      <alignment horizontal="center"/>
    </xf>
    <xf numFmtId="165" fontId="37" fillId="8" borderId="1" xfId="0" applyNumberFormat="1" applyFont="1" applyFill="1" applyBorder="1" applyAlignment="1">
      <alignment horizontal="center" vertical="center" wrapText="1"/>
    </xf>
    <xf numFmtId="165" fontId="37" fillId="0" borderId="1" xfId="0" applyNumberFormat="1" applyFont="1" applyFill="1" applyBorder="1" applyAlignment="1" applyProtection="1">
      <alignment horizontal="center"/>
      <protection locked="0"/>
    </xf>
    <xf numFmtId="164" fontId="0" fillId="0" borderId="6" xfId="0" applyNumberFormat="1" applyFill="1" applyBorder="1" applyAlignment="1">
      <alignment horizontal="center"/>
    </xf>
    <xf numFmtId="164" fontId="0" fillId="0" borderId="11" xfId="0" applyNumberFormat="1" applyFill="1" applyBorder="1" applyAlignment="1">
      <alignment horizontal="center"/>
    </xf>
    <xf numFmtId="164" fontId="0" fillId="0" borderId="12" xfId="0" applyNumberFormat="1" applyFill="1" applyBorder="1" applyAlignment="1">
      <alignment horizontal="center"/>
    </xf>
    <xf numFmtId="164" fontId="0" fillId="0" borderId="13" xfId="0" applyNumberFormat="1" applyFill="1" applyBorder="1" applyAlignment="1" applyProtection="1">
      <alignment horizontal="center"/>
    </xf>
    <xf numFmtId="164" fontId="37" fillId="17" borderId="1" xfId="0" applyNumberFormat="1" applyFont="1" applyFill="1" applyBorder="1" applyAlignment="1" applyProtection="1">
      <protection locked="0"/>
    </xf>
    <xf numFmtId="0" fontId="0" fillId="0" borderId="37" xfId="0" applyFill="1" applyBorder="1" applyAlignment="1" applyProtection="1">
      <alignment horizontal="center"/>
    </xf>
    <xf numFmtId="0" fontId="0" fillId="0" borderId="19" xfId="0" applyFill="1" applyBorder="1" applyAlignment="1" applyProtection="1">
      <alignment horizontal="center"/>
    </xf>
    <xf numFmtId="167" fontId="0" fillId="0" borderId="29" xfId="0" applyNumberFormat="1" applyFill="1" applyBorder="1" applyAlignment="1" applyProtection="1">
      <alignment horizontal="center"/>
    </xf>
    <xf numFmtId="0" fontId="0" fillId="0" borderId="11" xfId="0" applyFill="1" applyBorder="1" applyAlignment="1" applyProtection="1">
      <alignment horizontal="center"/>
    </xf>
    <xf numFmtId="0" fontId="0" fillId="0" borderId="12" xfId="0" applyFill="1" applyBorder="1" applyAlignment="1" applyProtection="1">
      <alignment horizontal="center"/>
    </xf>
    <xf numFmtId="167" fontId="0" fillId="0" borderId="13" xfId="0" applyNumberFormat="1" applyFill="1" applyBorder="1" applyAlignment="1" applyProtection="1">
      <alignment horizontal="center"/>
    </xf>
    <xf numFmtId="0" fontId="62" fillId="0" borderId="0" xfId="0" applyFont="1" applyBorder="1" applyAlignment="1">
      <alignment vertical="center"/>
    </xf>
    <xf numFmtId="0" fontId="63" fillId="0" borderId="0" xfId="0" applyFont="1" applyBorder="1" applyAlignment="1">
      <alignment horizontal="center" vertical="center"/>
    </xf>
    <xf numFmtId="0" fontId="8" fillId="18" borderId="53" xfId="0" applyNumberFormat="1" applyFont="1" applyFill="1" applyBorder="1" applyAlignment="1">
      <alignment horizontal="left" vertical="center"/>
    </xf>
    <xf numFmtId="0" fontId="0" fillId="18" borderId="57" xfId="0" applyFill="1" applyBorder="1" applyAlignment="1">
      <alignment vertical="center"/>
    </xf>
    <xf numFmtId="0" fontId="0" fillId="18" borderId="25" xfId="0" applyFill="1" applyBorder="1" applyAlignment="1">
      <alignment vertical="center"/>
    </xf>
    <xf numFmtId="166" fontId="64" fillId="0" borderId="0" xfId="0" applyNumberFormat="1" applyFont="1"/>
    <xf numFmtId="166" fontId="8" fillId="0" borderId="0" xfId="0" applyNumberFormat="1" applyFont="1"/>
    <xf numFmtId="166" fontId="66" fillId="0" borderId="0" xfId="0" applyNumberFormat="1" applyFont="1"/>
    <xf numFmtId="0" fontId="62" fillId="0" borderId="0" xfId="0" applyFont="1"/>
    <xf numFmtId="0" fontId="8" fillId="0" borderId="57" xfId="0" applyFont="1" applyFill="1" applyBorder="1" applyAlignment="1">
      <alignment horizontal="left"/>
    </xf>
    <xf numFmtId="0" fontId="4" fillId="0" borderId="0" xfId="0" applyFont="1" applyBorder="1"/>
    <xf numFmtId="0" fontId="67" fillId="0" borderId="0" xfId="1" applyFont="1"/>
    <xf numFmtId="0" fontId="2" fillId="0" borderId="0" xfId="1"/>
    <xf numFmtId="0" fontId="2" fillId="0" borderId="0" xfId="1" applyBorder="1" applyAlignment="1">
      <alignment horizontal="center"/>
    </xf>
    <xf numFmtId="2" fontId="2" fillId="0" borderId="0" xfId="1" applyNumberFormat="1" applyAlignment="1">
      <alignment horizontal="right"/>
    </xf>
    <xf numFmtId="0" fontId="2" fillId="0" borderId="0" xfId="1" applyBorder="1"/>
    <xf numFmtId="2" fontId="2" fillId="19" borderId="1" xfId="1" applyNumberFormat="1" applyFill="1" applyBorder="1"/>
    <xf numFmtId="2" fontId="2" fillId="0" borderId="0" xfId="1" applyNumberFormat="1"/>
    <xf numFmtId="0" fontId="71" fillId="0" borderId="0" xfId="1" applyFont="1"/>
    <xf numFmtId="0" fontId="72" fillId="0" borderId="0" xfId="1" applyFont="1"/>
    <xf numFmtId="166" fontId="72" fillId="0" borderId="0" xfId="1" applyNumberFormat="1" applyFont="1"/>
    <xf numFmtId="2" fontId="2" fillId="20" borderId="1" xfId="1" applyNumberFormat="1" applyFill="1" applyBorder="1"/>
    <xf numFmtId="2" fontId="72" fillId="0" borderId="0" xfId="1" applyNumberFormat="1" applyFont="1"/>
    <xf numFmtId="2" fontId="2" fillId="0" borderId="0" xfId="1" applyNumberFormat="1" applyFill="1" applyBorder="1"/>
    <xf numFmtId="0" fontId="2" fillId="0" borderId="1" xfId="1" applyBorder="1" applyAlignment="1">
      <alignment horizontal="center" vertical="center"/>
    </xf>
    <xf numFmtId="0" fontId="2" fillId="0" borderId="0" xfId="1" applyAlignment="1">
      <alignment horizontal="center" vertical="center"/>
    </xf>
    <xf numFmtId="0" fontId="2" fillId="0" borderId="1" xfId="1" applyBorder="1"/>
    <xf numFmtId="2" fontId="2" fillId="0" borderId="1" xfId="1" applyNumberFormat="1" applyBorder="1" applyAlignment="1">
      <alignment horizontal="center" vertical="center"/>
    </xf>
    <xf numFmtId="2" fontId="2" fillId="0" borderId="0" xfId="1" applyNumberFormat="1" applyAlignment="1">
      <alignment horizontal="center" vertical="center"/>
    </xf>
    <xf numFmtId="1" fontId="2" fillId="0" borderId="1" xfId="1" applyNumberFormat="1" applyBorder="1" applyAlignment="1">
      <alignment horizontal="center" vertical="center"/>
    </xf>
    <xf numFmtId="0" fontId="75" fillId="0" borderId="1" xfId="1" applyFont="1" applyBorder="1" applyAlignment="1">
      <alignment horizontal="center"/>
    </xf>
    <xf numFmtId="0" fontId="2" fillId="0" borderId="1" xfId="1" applyBorder="1" applyAlignment="1">
      <alignment horizontal="center"/>
    </xf>
    <xf numFmtId="0" fontId="2" fillId="0" borderId="0" xfId="1" applyAlignment="1">
      <alignment horizontal="center"/>
    </xf>
    <xf numFmtId="0" fontId="73" fillId="0" borderId="0" xfId="1" applyFont="1" applyAlignment="1">
      <alignment horizontal="center" vertical="center"/>
    </xf>
    <xf numFmtId="2" fontId="0" fillId="21" borderId="0" xfId="0" applyNumberFormat="1" applyFill="1" applyAlignment="1" applyProtection="1">
      <alignment horizontal="center"/>
    </xf>
    <xf numFmtId="0" fontId="0" fillId="21" borderId="0" xfId="0" applyFill="1"/>
    <xf numFmtId="0" fontId="3" fillId="0" borderId="0" xfId="0" applyFont="1"/>
    <xf numFmtId="0" fontId="3" fillId="21" borderId="0" xfId="0" applyFont="1" applyFill="1"/>
    <xf numFmtId="0" fontId="78" fillId="0" borderId="0" xfId="0" applyFont="1" applyFill="1"/>
    <xf numFmtId="15" fontId="0" fillId="0" borderId="0" xfId="0" applyNumberFormat="1"/>
    <xf numFmtId="0" fontId="3" fillId="22" borderId="0" xfId="0" applyFont="1" applyFill="1"/>
    <xf numFmtId="0" fontId="0" fillId="22" borderId="0" xfId="0" applyFill="1"/>
    <xf numFmtId="2" fontId="0" fillId="22" borderId="0" xfId="0" applyNumberFormat="1" applyFill="1" applyAlignment="1" applyProtection="1">
      <alignment horizontal="center"/>
    </xf>
    <xf numFmtId="2" fontId="12" fillId="21" borderId="1" xfId="0" applyNumberFormat="1" applyFont="1" applyFill="1" applyBorder="1"/>
    <xf numFmtId="0" fontId="3" fillId="0" borderId="1" xfId="0" applyFont="1" applyBorder="1" applyAlignment="1" applyProtection="1">
      <alignment horizontal="center"/>
      <protection locked="0"/>
    </xf>
    <xf numFmtId="1" fontId="0" fillId="21" borderId="0" xfId="0" applyNumberFormat="1" applyFill="1"/>
    <xf numFmtId="2" fontId="3" fillId="0" borderId="1" xfId="0" applyNumberFormat="1" applyFont="1" applyBorder="1" applyAlignment="1" applyProtection="1">
      <alignment horizontal="center"/>
      <protection locked="0"/>
    </xf>
    <xf numFmtId="164" fontId="3" fillId="16" borderId="1" xfId="0" applyNumberFormat="1" applyFont="1" applyFill="1" applyBorder="1" applyAlignment="1" applyProtection="1">
      <alignment horizontal="center"/>
    </xf>
    <xf numFmtId="0" fontId="1" fillId="0" borderId="0" xfId="1" applyFont="1"/>
    <xf numFmtId="0" fontId="77" fillId="0" borderId="0" xfId="1" applyFont="1"/>
    <xf numFmtId="2" fontId="77" fillId="0" borderId="0" xfId="1" applyNumberFormat="1" applyFont="1" applyAlignment="1">
      <alignment horizontal="right"/>
    </xf>
    <xf numFmtId="0" fontId="68" fillId="0" borderId="0" xfId="1" applyFont="1" applyBorder="1"/>
    <xf numFmtId="0" fontId="2" fillId="0" borderId="0" xfId="1" applyBorder="1" applyAlignment="1">
      <alignment horizontal="center" vertical="center"/>
    </xf>
    <xf numFmtId="2" fontId="2" fillId="0" borderId="1" xfId="1" applyNumberFormat="1" applyBorder="1" applyProtection="1">
      <protection locked="0"/>
    </xf>
    <xf numFmtId="166" fontId="77" fillId="0" borderId="0" xfId="1" applyNumberFormat="1" applyFont="1"/>
    <xf numFmtId="2" fontId="77" fillId="0" borderId="0" xfId="1" applyNumberFormat="1" applyFont="1"/>
    <xf numFmtId="0" fontId="1" fillId="0" borderId="1" xfId="1" applyFont="1" applyBorder="1" applyAlignment="1">
      <alignment horizontal="center"/>
    </xf>
    <xf numFmtId="0" fontId="2" fillId="20" borderId="1" xfId="1" applyFill="1" applyBorder="1" applyAlignment="1">
      <alignment horizontal="center"/>
    </xf>
    <xf numFmtId="0" fontId="2" fillId="0" borderId="1" xfId="1" applyBorder="1" applyAlignment="1" applyProtection="1">
      <alignment horizontal="center"/>
      <protection locked="0"/>
    </xf>
    <xf numFmtId="2" fontId="2" fillId="20" borderId="1" xfId="1" applyNumberFormat="1" applyFill="1" applyBorder="1" applyAlignment="1">
      <alignment horizontal="center"/>
    </xf>
    <xf numFmtId="0" fontId="77" fillId="0" borderId="0" xfId="1" applyFont="1" applyBorder="1" applyAlignment="1">
      <alignment horizontal="center"/>
    </xf>
    <xf numFmtId="2" fontId="1" fillId="20" borderId="1" xfId="1" applyNumberFormat="1" applyFont="1" applyFill="1" applyBorder="1" applyAlignment="1">
      <alignment horizontal="center"/>
    </xf>
    <xf numFmtId="2" fontId="2" fillId="0" borderId="1" xfId="1" applyNumberFormat="1" applyBorder="1" applyAlignment="1" applyProtection="1">
      <alignment horizontal="center"/>
      <protection locked="0"/>
    </xf>
    <xf numFmtId="0" fontId="37" fillId="0" borderId="55" xfId="0" applyFont="1" applyBorder="1" applyProtection="1"/>
    <xf numFmtId="0" fontId="37" fillId="0" borderId="0" xfId="0" applyFont="1" applyBorder="1" applyProtection="1"/>
    <xf numFmtId="0" fontId="0" fillId="23" borderId="0" xfId="0" applyFill="1"/>
    <xf numFmtId="0" fontId="37" fillId="0" borderId="55" xfId="0" applyFont="1" applyFill="1" applyBorder="1" applyAlignment="1" applyProtection="1">
      <alignment vertical="center"/>
    </xf>
    <xf numFmtId="0" fontId="3" fillId="0" borderId="55" xfId="0" applyFont="1" applyBorder="1" applyAlignment="1" applyProtection="1">
      <alignment horizontal="left" vertical="center"/>
    </xf>
    <xf numFmtId="0" fontId="3" fillId="0" borderId="0" xfId="0" applyFont="1" applyFill="1" applyBorder="1" applyProtection="1"/>
    <xf numFmtId="0" fontId="3" fillId="0" borderId="55" xfId="0" applyFont="1" applyBorder="1" applyAlignment="1">
      <alignment horizontal="left" vertical="center"/>
    </xf>
    <xf numFmtId="0" fontId="3" fillId="0" borderId="0" xfId="0" applyFont="1" applyFill="1" applyBorder="1"/>
    <xf numFmtId="0" fontId="37" fillId="18" borderId="55" xfId="0" applyFont="1" applyFill="1" applyBorder="1"/>
    <xf numFmtId="0" fontId="37" fillId="18" borderId="55" xfId="0" applyFont="1" applyFill="1" applyBorder="1" applyAlignment="1">
      <alignment horizontal="left"/>
    </xf>
    <xf numFmtId="0" fontId="80" fillId="6" borderId="0" xfId="0" applyFont="1" applyFill="1" applyBorder="1"/>
    <xf numFmtId="0" fontId="81" fillId="6" borderId="0" xfId="0" applyFont="1" applyFill="1"/>
    <xf numFmtId="2" fontId="82" fillId="6" borderId="0" xfId="0" applyNumberFormat="1" applyFont="1" applyFill="1" applyBorder="1"/>
    <xf numFmtId="0" fontId="82" fillId="6" borderId="0" xfId="0" applyFont="1" applyFill="1"/>
    <xf numFmtId="0" fontId="3" fillId="0" borderId="58"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left" vertical="center" wrapText="1"/>
    </xf>
    <xf numFmtId="170" fontId="3" fillId="16" borderId="1" xfId="0" applyNumberFormat="1" applyFont="1" applyFill="1" applyBorder="1" applyAlignment="1">
      <alignment horizontal="center" vertical="center"/>
    </xf>
    <xf numFmtId="0" fontId="83" fillId="6" borderId="50" xfId="0" applyFont="1" applyFill="1" applyBorder="1" applyAlignment="1">
      <alignment horizontal="center" vertical="center"/>
    </xf>
    <xf numFmtId="0" fontId="82" fillId="6" borderId="58" xfId="0" applyFont="1" applyFill="1" applyBorder="1" applyAlignment="1">
      <alignment vertical="center"/>
    </xf>
    <xf numFmtId="0" fontId="83" fillId="6" borderId="58" xfId="0" applyFont="1" applyFill="1" applyBorder="1" applyAlignment="1">
      <alignment horizontal="center" vertical="center"/>
    </xf>
    <xf numFmtId="0" fontId="82" fillId="6" borderId="58" xfId="0" applyFont="1" applyFill="1" applyBorder="1" applyAlignment="1">
      <alignment horizontal="left" vertical="center"/>
    </xf>
    <xf numFmtId="0" fontId="3" fillId="0" borderId="60" xfId="0" applyFont="1" applyFill="1" applyBorder="1" applyAlignment="1">
      <alignment vertical="center" wrapText="1"/>
    </xf>
    <xf numFmtId="0" fontId="3" fillId="0" borderId="0" xfId="0" applyFont="1" applyBorder="1" applyAlignment="1">
      <alignment horizontal="left" vertical="center"/>
    </xf>
    <xf numFmtId="0" fontId="3" fillId="0" borderId="0" xfId="0" applyFont="1" applyFill="1" applyBorder="1" applyAlignment="1">
      <alignment vertical="center"/>
    </xf>
    <xf numFmtId="49" fontId="3" fillId="0" borderId="60" xfId="0" applyNumberFormat="1" applyFont="1" applyFill="1" applyBorder="1" applyAlignment="1">
      <alignment horizontal="center" vertical="center"/>
    </xf>
    <xf numFmtId="164" fontId="3" fillId="16" borderId="20" xfId="0" applyNumberFormat="1" applyFont="1" applyFill="1" applyBorder="1" applyAlignment="1">
      <alignment horizontal="center" vertical="center"/>
    </xf>
    <xf numFmtId="2" fontId="3" fillId="16" borderId="53" xfId="0" applyNumberFormat="1" applyFont="1" applyFill="1" applyBorder="1" applyAlignment="1">
      <alignment horizontal="left" vertical="center"/>
    </xf>
    <xf numFmtId="0" fontId="64" fillId="18" borderId="0" xfId="0" applyFont="1" applyFill="1" applyBorder="1"/>
    <xf numFmtId="0" fontId="0" fillId="18" borderId="0" xfId="0" applyFill="1" applyBorder="1"/>
    <xf numFmtId="166" fontId="64" fillId="18" borderId="0" xfId="0" applyNumberFormat="1" applyFont="1" applyFill="1" applyBorder="1"/>
    <xf numFmtId="167" fontId="64" fillId="18" borderId="0" xfId="0" applyNumberFormat="1" applyFont="1" applyFill="1" applyBorder="1"/>
    <xf numFmtId="166" fontId="0" fillId="18" borderId="0" xfId="0" applyNumberFormat="1" applyFill="1" applyBorder="1"/>
    <xf numFmtId="0" fontId="0" fillId="18" borderId="0" xfId="0" applyFont="1" applyFill="1" applyBorder="1"/>
    <xf numFmtId="0" fontId="7" fillId="24" borderId="1" xfId="0" applyFont="1" applyFill="1" applyBorder="1" applyAlignment="1">
      <alignment horizontal="center" vertical="center"/>
    </xf>
    <xf numFmtId="0" fontId="0" fillId="0" borderId="0" xfId="0" applyBorder="1"/>
    <xf numFmtId="0" fontId="0" fillId="0" borderId="0" xfId="0" applyAlignment="1">
      <alignment horizontal="center"/>
    </xf>
    <xf numFmtId="1" fontId="0" fillId="0" borderId="0" xfId="0" applyNumberFormat="1" applyAlignment="1">
      <alignment horizontal="right"/>
    </xf>
    <xf numFmtId="0" fontId="3" fillId="0" borderId="0" xfId="0" applyFont="1" applyAlignment="1">
      <alignment horizontal="center"/>
    </xf>
    <xf numFmtId="166" fontId="0" fillId="0" borderId="0" xfId="0" applyNumberFormat="1" applyFill="1"/>
    <xf numFmtId="166" fontId="3" fillId="0" borderId="0" xfId="0" applyNumberFormat="1" applyFont="1"/>
    <xf numFmtId="0" fontId="3" fillId="0" borderId="0" xfId="0" applyFont="1" applyBorder="1"/>
    <xf numFmtId="166" fontId="0" fillId="0" borderId="0" xfId="0" applyNumberFormat="1" applyBorder="1" applyAlignment="1" applyProtection="1">
      <alignment horizontal="center"/>
    </xf>
    <xf numFmtId="1" fontId="0" fillId="0" borderId="0" xfId="0" applyNumberFormat="1" applyFill="1"/>
    <xf numFmtId="1" fontId="0" fillId="20" borderId="6" xfId="0" applyNumberFormat="1" applyFill="1" applyBorder="1" applyAlignment="1">
      <alignment horizontal="center"/>
    </xf>
    <xf numFmtId="166" fontId="0" fillId="20" borderId="9" xfId="0" applyNumberFormat="1" applyFill="1" applyBorder="1" applyAlignment="1">
      <alignment horizontal="center"/>
    </xf>
    <xf numFmtId="0" fontId="0" fillId="24" borderId="6" xfId="0" applyFill="1" applyBorder="1" applyAlignment="1">
      <alignment horizontal="center"/>
    </xf>
    <xf numFmtId="0" fontId="0" fillId="24" borderId="7" xfId="0" applyFill="1" applyBorder="1" applyAlignment="1">
      <alignment horizontal="center"/>
    </xf>
    <xf numFmtId="2" fontId="0" fillId="24" borderId="7" xfId="0" applyNumberFormat="1" applyFill="1" applyBorder="1" applyAlignment="1">
      <alignment horizontal="center"/>
    </xf>
    <xf numFmtId="166" fontId="0" fillId="24" borderId="7" xfId="0" applyNumberFormat="1" applyFill="1" applyBorder="1" applyAlignment="1">
      <alignment horizontal="center"/>
    </xf>
    <xf numFmtId="1" fontId="0" fillId="24" borderId="52" xfId="0" applyNumberFormat="1" applyFill="1" applyBorder="1" applyAlignment="1">
      <alignment horizontal="center"/>
    </xf>
    <xf numFmtId="166" fontId="0" fillId="24" borderId="9" xfId="0" applyNumberFormat="1" applyFill="1" applyBorder="1" applyAlignment="1">
      <alignment horizontal="center"/>
    </xf>
    <xf numFmtId="2" fontId="0" fillId="24" borderId="1" xfId="0" applyNumberFormat="1" applyFill="1" applyBorder="1"/>
    <xf numFmtId="166" fontId="0" fillId="24" borderId="1" xfId="0" applyNumberFormat="1" applyFill="1" applyBorder="1"/>
    <xf numFmtId="2" fontId="0" fillId="24" borderId="1" xfId="0" applyNumberFormat="1" applyFill="1" applyBorder="1" applyAlignment="1">
      <alignment horizontal="center"/>
    </xf>
    <xf numFmtId="166" fontId="0" fillId="24" borderId="1" xfId="0" applyNumberFormat="1" applyFill="1" applyBorder="1" applyAlignment="1">
      <alignment horizontal="center"/>
    </xf>
    <xf numFmtId="2" fontId="0" fillId="24" borderId="53" xfId="0" applyNumberFormat="1" applyFill="1" applyBorder="1" applyAlignment="1">
      <alignment horizontal="center"/>
    </xf>
    <xf numFmtId="2" fontId="0" fillId="24" borderId="12" xfId="0" applyNumberFormat="1" applyFill="1" applyBorder="1"/>
    <xf numFmtId="166" fontId="0" fillId="24" borderId="12" xfId="0" applyNumberFormat="1" applyFill="1" applyBorder="1"/>
    <xf numFmtId="2" fontId="0" fillId="24" borderId="12" xfId="0" applyNumberFormat="1" applyFill="1" applyBorder="1" applyAlignment="1">
      <alignment horizontal="center"/>
    </xf>
    <xf numFmtId="166" fontId="0" fillId="24" borderId="12" xfId="0" applyNumberFormat="1" applyFill="1" applyBorder="1" applyAlignment="1">
      <alignment horizontal="center"/>
    </xf>
    <xf numFmtId="2" fontId="0" fillId="24" borderId="54" xfId="0" applyNumberFormat="1" applyFill="1" applyBorder="1" applyAlignment="1">
      <alignment horizontal="center"/>
    </xf>
    <xf numFmtId="0" fontId="3" fillId="0" borderId="0"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4" fillId="0" borderId="40" xfId="0" applyFont="1" applyBorder="1" applyAlignment="1">
      <alignment horizontal="center" vertical="center"/>
    </xf>
    <xf numFmtId="0" fontId="4" fillId="0" borderId="64" xfId="0" applyFont="1" applyBorder="1" applyAlignment="1">
      <alignment horizontal="center" vertical="center"/>
    </xf>
    <xf numFmtId="0" fontId="4" fillId="0" borderId="32" xfId="0" applyFont="1" applyBorder="1" applyAlignment="1">
      <alignment horizontal="center" vertical="center"/>
    </xf>
    <xf numFmtId="0" fontId="4" fillId="0" borderId="23" xfId="0" applyFont="1" applyBorder="1" applyAlignment="1">
      <alignment horizontal="center" vertical="center"/>
    </xf>
    <xf numFmtId="0" fontId="4" fillId="0" borderId="5" xfId="0" applyFont="1" applyBorder="1" applyAlignment="1">
      <alignment horizontal="center" vertical="center"/>
    </xf>
    <xf numFmtId="0" fontId="4" fillId="0" borderId="22" xfId="0" applyFont="1" applyBorder="1" applyAlignment="1">
      <alignment horizontal="center" vertical="center"/>
    </xf>
    <xf numFmtId="0" fontId="4" fillId="0" borderId="66" xfId="0" applyFont="1" applyBorder="1" applyAlignment="1">
      <alignment horizontal="center" vertical="center"/>
    </xf>
    <xf numFmtId="0" fontId="4" fillId="0" borderId="14"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14" xfId="0" applyFont="1" applyBorder="1" applyAlignment="1">
      <alignment horizontal="center" vertical="center"/>
    </xf>
    <xf numFmtId="0" fontId="86" fillId="0" borderId="23" xfId="0" applyFont="1" applyBorder="1" applyAlignment="1">
      <alignment horizontal="center" vertical="center"/>
    </xf>
    <xf numFmtId="0" fontId="4" fillId="0" borderId="2"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44" xfId="0" applyFont="1" applyBorder="1" applyAlignment="1">
      <alignment horizontal="center" vertical="center"/>
    </xf>
    <xf numFmtId="0" fontId="3" fillId="0" borderId="9" xfId="0" applyFont="1" applyBorder="1" applyAlignment="1">
      <alignment vertical="center"/>
    </xf>
    <xf numFmtId="0" fontId="3" fillId="0" borderId="1" xfId="0" applyFont="1" applyBorder="1" applyAlignment="1">
      <alignment vertical="center"/>
    </xf>
    <xf numFmtId="0" fontId="3" fillId="0" borderId="10" xfId="0" applyFont="1" applyBorder="1" applyAlignment="1">
      <alignment vertical="center"/>
    </xf>
    <xf numFmtId="0" fontId="3" fillId="0" borderId="45" xfId="0" applyFont="1" applyBorder="1" applyAlignment="1">
      <alignment horizontal="center" vertical="center"/>
    </xf>
    <xf numFmtId="0" fontId="3" fillId="0" borderId="65" xfId="0" applyFont="1" applyBorder="1" applyAlignment="1">
      <alignment vertical="center"/>
    </xf>
    <xf numFmtId="0" fontId="3" fillId="0" borderId="20" xfId="0" applyFont="1" applyBorder="1" applyAlignment="1">
      <alignment vertical="center"/>
    </xf>
    <xf numFmtId="0" fontId="3" fillId="0" borderId="68" xfId="0" applyFont="1" applyBorder="1" applyAlignment="1">
      <alignment vertical="center"/>
    </xf>
    <xf numFmtId="0" fontId="3" fillId="24" borderId="2" xfId="0" applyFont="1" applyFill="1" applyBorder="1" applyAlignment="1">
      <alignment horizontal="center" vertical="center"/>
    </xf>
    <xf numFmtId="0" fontId="3" fillId="24" borderId="48" xfId="0" applyFont="1" applyFill="1" applyBorder="1" applyAlignment="1">
      <alignment horizontal="center" vertical="center"/>
    </xf>
    <xf numFmtId="0" fontId="3" fillId="0" borderId="37" xfId="0" applyFont="1" applyBorder="1" applyAlignment="1">
      <alignment vertical="center"/>
    </xf>
    <xf numFmtId="0" fontId="3" fillId="0" borderId="19" xfId="0" applyFont="1" applyBorder="1" applyAlignment="1">
      <alignment vertical="center"/>
    </xf>
    <xf numFmtId="0" fontId="3" fillId="0" borderId="29" xfId="0" applyFont="1" applyBorder="1" applyAlignment="1">
      <alignment vertical="center"/>
    </xf>
    <xf numFmtId="0" fontId="3" fillId="0" borderId="39" xfId="0" applyFont="1" applyBorder="1" applyAlignment="1">
      <alignment horizontal="center" vertical="center"/>
    </xf>
    <xf numFmtId="169" fontId="3" fillId="24" borderId="17" xfId="0" applyNumberFormat="1" applyFont="1" applyFill="1" applyBorder="1" applyAlignment="1">
      <alignment vertical="center"/>
    </xf>
    <xf numFmtId="0" fontId="3" fillId="24" borderId="69" xfId="0" applyFont="1" applyFill="1" applyBorder="1" applyAlignment="1">
      <alignment horizontal="center" vertical="center"/>
    </xf>
    <xf numFmtId="0" fontId="3" fillId="0" borderId="0" xfId="0" applyFont="1" applyFill="1" applyBorder="1" applyAlignment="1">
      <alignment horizontal="left" vertical="center"/>
    </xf>
    <xf numFmtId="0" fontId="3" fillId="24" borderId="43" xfId="0" applyFont="1" applyFill="1" applyBorder="1" applyAlignment="1">
      <alignment horizontal="center" vertical="center"/>
    </xf>
    <xf numFmtId="0" fontId="3" fillId="24" borderId="47" xfId="0" applyFont="1" applyFill="1" applyBorder="1" applyAlignment="1">
      <alignment horizontal="center" vertical="center"/>
    </xf>
    <xf numFmtId="0" fontId="4" fillId="0" borderId="40" xfId="0" applyFont="1" applyBorder="1" applyAlignment="1">
      <alignment vertical="center"/>
    </xf>
    <xf numFmtId="0" fontId="4" fillId="0" borderId="64"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left" vertical="center"/>
    </xf>
    <xf numFmtId="0" fontId="4" fillId="0" borderId="22" xfId="0" applyFont="1" applyBorder="1" applyAlignment="1">
      <alignment horizontal="left" vertical="center"/>
    </xf>
    <xf numFmtId="0" fontId="4" fillId="0" borderId="66" xfId="0" applyFont="1" applyBorder="1" applyAlignment="1">
      <alignment horizontal="left" vertical="center"/>
    </xf>
    <xf numFmtId="0" fontId="4" fillId="0" borderId="14" xfId="0" applyFont="1" applyBorder="1" applyAlignment="1">
      <alignment vertical="center"/>
    </xf>
    <xf numFmtId="0" fontId="4" fillId="0" borderId="5" xfId="0" applyFont="1" applyBorder="1" applyAlignment="1">
      <alignment vertical="center"/>
    </xf>
    <xf numFmtId="0" fontId="4" fillId="0" borderId="32" xfId="0" applyFont="1" applyBorder="1" applyAlignment="1">
      <alignment vertical="center"/>
    </xf>
    <xf numFmtId="0" fontId="4" fillId="0" borderId="22" xfId="0" applyFont="1" applyBorder="1" applyAlignment="1">
      <alignment vertical="center"/>
    </xf>
    <xf numFmtId="0" fontId="86" fillId="0" borderId="2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24" borderId="17" xfId="0" applyFont="1" applyFill="1" applyBorder="1" applyAlignment="1">
      <alignment vertical="center"/>
    </xf>
    <xf numFmtId="0" fontId="3" fillId="24" borderId="14" xfId="0" applyFont="1" applyFill="1" applyBorder="1" applyAlignment="1">
      <alignment horizontal="center" vertical="center"/>
    </xf>
    <xf numFmtId="0" fontId="4" fillId="0" borderId="15" xfId="0" applyFont="1" applyBorder="1" applyAlignment="1">
      <alignment horizontal="center" vertical="center"/>
    </xf>
    <xf numFmtId="0" fontId="3" fillId="0" borderId="0" xfId="0" applyFont="1" applyFill="1" applyAlignment="1">
      <alignment horizontal="center" vertical="center"/>
    </xf>
    <xf numFmtId="164" fontId="12" fillId="25" borderId="1" xfId="0" applyNumberFormat="1" applyFont="1" applyFill="1" applyBorder="1" applyProtection="1"/>
    <xf numFmtId="0" fontId="0" fillId="0" borderId="0" xfId="0" applyBorder="1"/>
    <xf numFmtId="0" fontId="0" fillId="0" borderId="0" xfId="0" applyAlignment="1">
      <alignment horizontal="center"/>
    </xf>
    <xf numFmtId="0" fontId="4" fillId="0" borderId="1" xfId="0" applyFont="1" applyBorder="1" applyProtection="1">
      <protection locked="0"/>
    </xf>
    <xf numFmtId="0" fontId="0" fillId="0" borderId="0" xfId="0" applyAlignment="1">
      <alignment horizontal="center" wrapText="1"/>
    </xf>
    <xf numFmtId="0" fontId="4" fillId="18" borderId="1" xfId="0" applyFont="1" applyFill="1" applyBorder="1" applyProtection="1">
      <protection locked="0"/>
    </xf>
    <xf numFmtId="166" fontId="0" fillId="21" borderId="0" xfId="0" applyNumberFormat="1" applyFill="1" applyAlignment="1">
      <alignment horizontal="center"/>
    </xf>
    <xf numFmtId="0" fontId="7" fillId="0" borderId="0" xfId="0" applyFont="1" applyAlignment="1">
      <alignment horizontal="justify" vertical="center" wrapText="1"/>
    </xf>
    <xf numFmtId="0" fontId="37" fillId="0" borderId="0" xfId="0" applyFont="1" applyAlignment="1">
      <alignment horizontal="justify" vertical="center" wrapText="1"/>
    </xf>
    <xf numFmtId="164" fontId="82" fillId="6" borderId="0" xfId="0" applyNumberFormat="1" applyFont="1" applyFill="1" applyAlignment="1">
      <alignment horizontal="left"/>
    </xf>
    <xf numFmtId="0" fontId="37" fillId="0" borderId="55" xfId="0" applyFont="1" applyBorder="1" applyProtection="1"/>
    <xf numFmtId="0" fontId="37" fillId="0" borderId="0" xfId="0" applyFont="1" applyBorder="1" applyProtection="1"/>
    <xf numFmtId="0" fontId="65" fillId="0" borderId="1" xfId="0" applyFont="1" applyBorder="1" applyProtection="1">
      <protection locked="0"/>
    </xf>
    <xf numFmtId="0" fontId="37" fillId="0" borderId="1" xfId="0" applyFont="1" applyBorder="1" applyProtection="1">
      <protection locked="0"/>
    </xf>
    <xf numFmtId="0" fontId="37" fillId="0" borderId="53" xfId="0" applyFont="1" applyBorder="1" applyProtection="1">
      <protection locked="0"/>
    </xf>
    <xf numFmtId="0" fontId="37" fillId="0" borderId="57" xfId="0" applyFont="1" applyBorder="1" applyProtection="1">
      <protection locked="0"/>
    </xf>
    <xf numFmtId="0" fontId="37" fillId="0" borderId="25" xfId="0" applyFont="1" applyBorder="1" applyProtection="1">
      <protection locked="0"/>
    </xf>
    <xf numFmtId="0" fontId="37" fillId="0" borderId="53" xfId="0" applyNumberFormat="1" applyFont="1" applyFill="1" applyBorder="1" applyProtection="1">
      <protection locked="0"/>
    </xf>
    <xf numFmtId="0" fontId="37" fillId="0" borderId="57" xfId="0" applyNumberFormat="1" applyFont="1" applyFill="1" applyBorder="1" applyProtection="1">
      <protection locked="0"/>
    </xf>
    <xf numFmtId="0" fontId="37" fillId="0" borderId="25" xfId="0" applyNumberFormat="1" applyFont="1" applyFill="1" applyBorder="1" applyProtection="1">
      <protection locked="0"/>
    </xf>
    <xf numFmtId="165" fontId="19" fillId="0" borderId="53" xfId="0" applyNumberFormat="1" applyFont="1" applyFill="1" applyBorder="1" applyAlignment="1" applyProtection="1">
      <alignment horizontal="left"/>
      <protection locked="0"/>
    </xf>
    <xf numFmtId="165" fontId="19" fillId="0" borderId="57" xfId="0" applyNumberFormat="1" applyFont="1" applyFill="1" applyBorder="1" applyAlignment="1" applyProtection="1">
      <alignment horizontal="left"/>
      <protection locked="0"/>
    </xf>
    <xf numFmtId="165" fontId="19" fillId="0" borderId="25" xfId="0" applyNumberFormat="1" applyFont="1" applyFill="1" applyBorder="1" applyAlignment="1" applyProtection="1">
      <alignment horizontal="left"/>
      <protection locked="0"/>
    </xf>
    <xf numFmtId="165" fontId="37" fillId="0" borderId="53" xfId="0" applyNumberFormat="1" applyFont="1" applyFill="1" applyBorder="1" applyAlignment="1" applyProtection="1">
      <alignment horizontal="left"/>
      <protection locked="0"/>
    </xf>
    <xf numFmtId="165" fontId="37" fillId="0" borderId="57" xfId="0" applyNumberFormat="1" applyFont="1" applyFill="1" applyBorder="1" applyAlignment="1" applyProtection="1">
      <alignment horizontal="left"/>
      <protection locked="0"/>
    </xf>
    <xf numFmtId="165" fontId="37" fillId="0" borderId="25" xfId="0" applyNumberFormat="1" applyFont="1" applyFill="1" applyBorder="1" applyAlignment="1" applyProtection="1">
      <alignment horizontal="left"/>
      <protection locked="0"/>
    </xf>
    <xf numFmtId="0" fontId="37" fillId="0" borderId="55" xfId="0" applyFont="1" applyBorder="1" applyAlignment="1" applyProtection="1">
      <alignment horizontal="left" vertical="center"/>
    </xf>
    <xf numFmtId="0" fontId="37" fillId="0" borderId="0" xfId="0" applyFont="1" applyBorder="1" applyAlignment="1" applyProtection="1">
      <alignment horizontal="left" vertical="center"/>
    </xf>
    <xf numFmtId="0" fontId="37" fillId="0" borderId="55" xfId="0" applyFont="1" applyBorder="1" applyAlignment="1" applyProtection="1">
      <alignment horizontal="left"/>
    </xf>
    <xf numFmtId="0" fontId="37" fillId="0" borderId="0" xfId="0" applyFont="1" applyBorder="1" applyAlignment="1" applyProtection="1">
      <alignment horizontal="left"/>
    </xf>
    <xf numFmtId="49" fontId="37" fillId="0" borderId="53" xfId="0" applyNumberFormat="1" applyFont="1" applyBorder="1" applyProtection="1">
      <protection locked="0"/>
    </xf>
    <xf numFmtId="49" fontId="37" fillId="0" borderId="57" xfId="0" applyNumberFormat="1" applyFont="1" applyBorder="1" applyProtection="1">
      <protection locked="0"/>
    </xf>
    <xf numFmtId="49" fontId="37" fillId="0" borderId="25" xfId="0" applyNumberFormat="1" applyFont="1" applyBorder="1" applyProtection="1">
      <protection locked="0"/>
    </xf>
    <xf numFmtId="0" fontId="19" fillId="15" borderId="53" xfId="0" applyNumberFormat="1" applyFont="1" applyFill="1" applyBorder="1" applyAlignment="1" applyProtection="1">
      <alignment horizontal="left"/>
    </xf>
    <xf numFmtId="0" fontId="19" fillId="15" borderId="57" xfId="0" applyNumberFormat="1" applyFont="1" applyFill="1" applyBorder="1" applyAlignment="1" applyProtection="1">
      <alignment horizontal="left"/>
    </xf>
    <xf numFmtId="0" fontId="19" fillId="15" borderId="25" xfId="0" applyNumberFormat="1" applyFont="1" applyFill="1" applyBorder="1" applyAlignment="1" applyProtection="1">
      <alignment horizontal="left"/>
    </xf>
    <xf numFmtId="165" fontId="37" fillId="0" borderId="53" xfId="0" applyNumberFormat="1" applyFont="1" applyFill="1" applyBorder="1" applyAlignment="1" applyProtection="1">
      <alignment horizontal="left" vertical="center" wrapText="1"/>
      <protection locked="0"/>
    </xf>
    <xf numFmtId="165" fontId="37" fillId="0" borderId="57" xfId="0" applyNumberFormat="1" applyFont="1" applyFill="1" applyBorder="1" applyAlignment="1" applyProtection="1">
      <alignment horizontal="left" vertical="center" wrapText="1"/>
      <protection locked="0"/>
    </xf>
    <xf numFmtId="165" fontId="37" fillId="0" borderId="25" xfId="0" applyNumberFormat="1" applyFont="1" applyFill="1" applyBorder="1" applyAlignment="1" applyProtection="1">
      <alignment horizontal="left" vertical="center" wrapText="1"/>
      <protection locked="0"/>
    </xf>
    <xf numFmtId="15" fontId="19" fillId="15" borderId="59" xfId="0" applyNumberFormat="1" applyFont="1" applyFill="1" applyBorder="1" applyAlignment="1" applyProtection="1">
      <alignment horizontal="left"/>
    </xf>
    <xf numFmtId="0" fontId="19" fillId="15" borderId="60" xfId="0" applyFont="1" applyFill="1" applyBorder="1" applyAlignment="1" applyProtection="1">
      <alignment horizontal="left"/>
    </xf>
    <xf numFmtId="0" fontId="19" fillId="15" borderId="24" xfId="0" applyFont="1" applyFill="1" applyBorder="1" applyAlignment="1" applyProtection="1">
      <alignment horizontal="left"/>
    </xf>
    <xf numFmtId="15" fontId="19" fillId="15" borderId="53" xfId="0" applyNumberFormat="1" applyFont="1" applyFill="1" applyBorder="1" applyAlignment="1" applyProtection="1">
      <alignment horizontal="left"/>
    </xf>
    <xf numFmtId="0" fontId="19" fillId="15" borderId="57" xfId="0" applyFont="1" applyFill="1" applyBorder="1" applyAlignment="1" applyProtection="1">
      <alignment horizontal="left"/>
    </xf>
    <xf numFmtId="0" fontId="19" fillId="15" borderId="25" xfId="0" applyFont="1" applyFill="1" applyBorder="1" applyAlignment="1" applyProtection="1">
      <alignment horizontal="left"/>
    </xf>
    <xf numFmtId="0" fontId="0" fillId="0" borderId="53" xfId="0" applyFont="1" applyFill="1" applyBorder="1" applyAlignment="1" applyProtection="1">
      <alignment horizontal="left"/>
      <protection locked="0"/>
    </xf>
    <xf numFmtId="0" fontId="8" fillId="0" borderId="57" xfId="0" applyFont="1" applyFill="1" applyBorder="1" applyAlignment="1" applyProtection="1">
      <alignment horizontal="left"/>
      <protection locked="0"/>
    </xf>
    <xf numFmtId="0" fontId="8" fillId="0" borderId="25" xfId="0" applyFont="1" applyFill="1" applyBorder="1" applyAlignment="1" applyProtection="1">
      <alignment horizontal="left"/>
      <protection locked="0"/>
    </xf>
    <xf numFmtId="165" fontId="37" fillId="0" borderId="53" xfId="0" applyNumberFormat="1" applyFont="1" applyFill="1" applyBorder="1" applyAlignment="1" applyProtection="1">
      <alignment vertical="center" wrapText="1"/>
      <protection locked="0"/>
    </xf>
    <xf numFmtId="165" fontId="37" fillId="0" borderId="57" xfId="0" applyNumberFormat="1" applyFont="1" applyFill="1" applyBorder="1" applyAlignment="1" applyProtection="1">
      <alignment vertical="center" wrapText="1"/>
      <protection locked="0"/>
    </xf>
    <xf numFmtId="165" fontId="37" fillId="0" borderId="25" xfId="0" applyNumberFormat="1" applyFont="1" applyFill="1" applyBorder="1" applyAlignment="1" applyProtection="1">
      <alignment vertical="center" wrapText="1"/>
      <protection locked="0"/>
    </xf>
    <xf numFmtId="0" fontId="37" fillId="0" borderId="57" xfId="0" applyFont="1" applyBorder="1" applyAlignment="1" applyProtection="1">
      <protection locked="0"/>
    </xf>
    <xf numFmtId="0" fontId="37" fillId="0" borderId="25" xfId="0" applyFont="1" applyBorder="1" applyAlignment="1" applyProtection="1">
      <protection locked="0"/>
    </xf>
    <xf numFmtId="49" fontId="0" fillId="0" borderId="53" xfId="0" applyNumberFormat="1" applyFont="1" applyBorder="1" applyAlignment="1" applyProtection="1">
      <alignment horizontal="left"/>
      <protection locked="0"/>
    </xf>
    <xf numFmtId="49" fontId="8" fillId="0" borderId="57" xfId="0" applyNumberFormat="1" applyFont="1" applyBorder="1" applyAlignment="1" applyProtection="1">
      <alignment horizontal="left"/>
      <protection locked="0"/>
    </xf>
    <xf numFmtId="49" fontId="8" fillId="0" borderId="25" xfId="0" applyNumberFormat="1" applyFont="1" applyBorder="1" applyAlignment="1" applyProtection="1">
      <alignment horizontal="left"/>
      <protection locked="0"/>
    </xf>
    <xf numFmtId="0" fontId="37" fillId="0" borderId="55" xfId="0" applyFont="1" applyBorder="1" applyAlignment="1">
      <alignment horizontal="left" vertical="center" wrapText="1"/>
    </xf>
    <xf numFmtId="0" fontId="37" fillId="0" borderId="0" xfId="0" applyFont="1" applyBorder="1" applyAlignment="1">
      <alignment horizontal="left" vertical="center" wrapText="1"/>
    </xf>
    <xf numFmtId="0" fontId="37" fillId="8" borderId="53" xfId="0" applyFont="1" applyFill="1" applyBorder="1" applyAlignment="1">
      <alignment horizontal="center" vertical="center" wrapText="1"/>
    </xf>
    <xf numFmtId="0" fontId="37" fillId="8" borderId="25" xfId="0" applyFont="1" applyFill="1" applyBorder="1" applyAlignment="1">
      <alignment horizontal="center" vertical="center" wrapText="1"/>
    </xf>
    <xf numFmtId="165" fontId="61" fillId="0" borderId="57" xfId="0" quotePrefix="1" applyNumberFormat="1" applyFont="1" applyFill="1" applyBorder="1" applyAlignment="1" applyProtection="1">
      <alignment horizontal="left" vertical="center" wrapText="1"/>
      <protection locked="0"/>
    </xf>
    <xf numFmtId="165" fontId="61" fillId="0" borderId="25" xfId="0" quotePrefix="1" applyNumberFormat="1" applyFont="1" applyFill="1" applyBorder="1" applyAlignment="1" applyProtection="1">
      <alignment horizontal="left" vertical="center" wrapText="1"/>
      <protection locked="0"/>
    </xf>
    <xf numFmtId="165" fontId="37" fillId="0" borderId="57" xfId="0" quotePrefix="1" applyNumberFormat="1" applyFont="1" applyFill="1" applyBorder="1" applyAlignment="1" applyProtection="1">
      <alignment horizontal="left" vertical="center" wrapText="1"/>
      <protection locked="0"/>
    </xf>
    <xf numFmtId="165" fontId="37" fillId="0" borderId="25" xfId="0" quotePrefix="1" applyNumberFormat="1" applyFont="1" applyFill="1" applyBorder="1" applyAlignment="1" applyProtection="1">
      <alignment horizontal="left" vertical="center" wrapText="1"/>
      <protection locked="0"/>
    </xf>
    <xf numFmtId="0" fontId="53" fillId="16" borderId="53" xfId="0" applyFont="1" applyFill="1" applyBorder="1" applyAlignment="1">
      <alignment horizontal="center" vertical="center" wrapText="1"/>
    </xf>
    <xf numFmtId="0" fontId="53" fillId="16" borderId="57" xfId="0" applyFont="1" applyFill="1" applyBorder="1" applyAlignment="1">
      <alignment horizontal="center" vertical="center" wrapText="1"/>
    </xf>
    <xf numFmtId="0" fontId="53" fillId="16" borderId="25" xfId="0" applyFont="1" applyFill="1" applyBorder="1" applyAlignment="1">
      <alignment horizontal="center" vertical="center" wrapText="1"/>
    </xf>
    <xf numFmtId="15" fontId="0" fillId="16" borderId="1" xfId="0" applyNumberFormat="1" applyFill="1" applyBorder="1" applyAlignment="1">
      <alignment horizontal="center" vertical="center"/>
    </xf>
    <xf numFmtId="0" fontId="0" fillId="16" borderId="53" xfId="0" applyFill="1" applyBorder="1" applyAlignment="1">
      <alignment horizontal="left" vertical="center" wrapText="1"/>
    </xf>
    <xf numFmtId="0" fontId="0" fillId="16" borderId="57" xfId="0" applyFill="1" applyBorder="1" applyAlignment="1">
      <alignment horizontal="left" vertical="center" wrapText="1"/>
    </xf>
    <xf numFmtId="0" fontId="0" fillId="16" borderId="25" xfId="0" applyFill="1" applyBorder="1" applyAlignment="1">
      <alignment horizontal="left" vertical="center" wrapText="1"/>
    </xf>
    <xf numFmtId="0" fontId="3" fillId="16" borderId="53" xfId="0" applyFont="1" applyFill="1" applyBorder="1" applyAlignment="1">
      <alignment horizontal="left" vertical="center" wrapText="1"/>
    </xf>
    <xf numFmtId="0" fontId="3" fillId="16" borderId="57" xfId="0" applyFont="1" applyFill="1" applyBorder="1" applyAlignment="1">
      <alignment horizontal="left" vertical="center" wrapText="1"/>
    </xf>
    <xf numFmtId="0" fontId="3" fillId="16" borderId="25" xfId="0" applyFont="1" applyFill="1" applyBorder="1" applyAlignment="1">
      <alignment horizontal="left" vertical="center" wrapText="1"/>
    </xf>
    <xf numFmtId="164" fontId="0" fillId="16" borderId="1" xfId="0" applyNumberFormat="1" applyFill="1" applyBorder="1" applyAlignment="1">
      <alignment horizontal="center" vertical="center"/>
    </xf>
    <xf numFmtId="2" fontId="0" fillId="16" borderId="1" xfId="0" applyNumberFormat="1" applyFill="1" applyBorder="1" applyAlignment="1">
      <alignment horizontal="center" vertical="center"/>
    </xf>
    <xf numFmtId="0" fontId="33" fillId="4" borderId="0" xfId="0" applyFont="1" applyFill="1" applyAlignment="1">
      <alignment vertical="top"/>
    </xf>
    <xf numFmtId="0" fontId="37" fillId="0" borderId="0" xfId="0" applyFont="1" applyBorder="1" applyAlignment="1">
      <alignment horizontal="justify" vertical="center" wrapText="1"/>
    </xf>
    <xf numFmtId="1" fontId="4" fillId="0" borderId="12" xfId="0" applyNumberFormat="1" applyFont="1" applyBorder="1" applyAlignment="1">
      <alignment horizontal="center" vertical="center"/>
    </xf>
    <xf numFmtId="0" fontId="38" fillId="0" borderId="0" xfId="0" applyFont="1" applyAlignment="1">
      <alignment horizontal="justify" vertical="center" wrapText="1"/>
    </xf>
    <xf numFmtId="0" fontId="0" fillId="0" borderId="0" xfId="0" applyAlignment="1">
      <alignment horizontal="justify" vertical="center" wrapText="1"/>
    </xf>
    <xf numFmtId="0" fontId="19" fillId="0" borderId="54" xfId="0" applyFont="1" applyBorder="1" applyAlignment="1">
      <alignment horizontal="justify" vertical="center" wrapText="1"/>
    </xf>
    <xf numFmtId="0" fontId="19" fillId="0" borderId="70" xfId="0" applyFont="1" applyBorder="1" applyAlignment="1">
      <alignment horizontal="justify" vertical="center" wrapText="1"/>
    </xf>
    <xf numFmtId="0" fontId="19" fillId="0" borderId="46" xfId="0" applyFont="1" applyBorder="1" applyAlignment="1">
      <alignment horizontal="justify" vertical="center" wrapText="1"/>
    </xf>
    <xf numFmtId="1" fontId="4" fillId="0" borderId="1" xfId="0" applyNumberFormat="1" applyFont="1" applyBorder="1" applyAlignment="1">
      <alignment horizontal="center" vertical="center"/>
    </xf>
    <xf numFmtId="0" fontId="19" fillId="0" borderId="1" xfId="0" applyFont="1" applyBorder="1" applyAlignment="1">
      <alignment vertical="center" wrapText="1"/>
    </xf>
    <xf numFmtId="0" fontId="25" fillId="0" borderId="0" xfId="0" applyFont="1"/>
    <xf numFmtId="0" fontId="12" fillId="5" borderId="52" xfId="0" applyFont="1" applyFill="1" applyBorder="1"/>
    <xf numFmtId="0" fontId="12" fillId="5" borderId="71" xfId="0" applyFont="1" applyFill="1" applyBorder="1"/>
    <xf numFmtId="0" fontId="12" fillId="5" borderId="44" xfId="0" applyFont="1" applyFill="1" applyBorder="1"/>
    <xf numFmtId="0" fontId="19" fillId="0" borderId="53" xfId="0" applyFont="1" applyBorder="1" applyAlignment="1">
      <alignment horizontal="justify" vertical="center" wrapText="1"/>
    </xf>
    <xf numFmtId="0" fontId="19" fillId="0" borderId="57" xfId="0" applyFont="1" applyBorder="1" applyAlignment="1">
      <alignment horizontal="justify" vertical="center" wrapText="1"/>
    </xf>
    <xf numFmtId="0" fontId="19" fillId="0" borderId="45" xfId="0" applyFont="1" applyBorder="1" applyAlignment="1">
      <alignment horizontal="justify" vertical="center" wrapText="1"/>
    </xf>
    <xf numFmtId="0" fontId="17" fillId="4" borderId="0" xfId="0" applyFont="1" applyFill="1" applyAlignment="1">
      <alignment horizontal="center"/>
    </xf>
    <xf numFmtId="0" fontId="4" fillId="0" borderId="53" xfId="0" applyFont="1" applyBorder="1" applyAlignment="1">
      <alignment horizontal="center" vertical="center"/>
    </xf>
    <xf numFmtId="0" fontId="4" fillId="0" borderId="57" xfId="0" applyFont="1" applyBorder="1" applyAlignment="1">
      <alignment horizontal="center" vertical="center"/>
    </xf>
    <xf numFmtId="0" fontId="4" fillId="0" borderId="45" xfId="0" applyFont="1" applyBorder="1" applyAlignment="1">
      <alignment horizontal="center" vertical="center"/>
    </xf>
    <xf numFmtId="0" fontId="4" fillId="0" borderId="54" xfId="0" applyFont="1" applyBorder="1" applyAlignment="1">
      <alignment horizontal="center" vertical="center"/>
    </xf>
    <xf numFmtId="0" fontId="4" fillId="0" borderId="70" xfId="0" applyFont="1" applyBorder="1" applyAlignment="1">
      <alignment horizontal="center" vertical="center"/>
    </xf>
    <xf numFmtId="0" fontId="4" fillId="0" borderId="46" xfId="0" applyFont="1" applyBorder="1" applyAlignment="1">
      <alignment horizontal="center" vertical="center"/>
    </xf>
    <xf numFmtId="0" fontId="4" fillId="0" borderId="12" xfId="0" applyFont="1" applyBorder="1" applyAlignment="1">
      <alignment vertical="center"/>
    </xf>
    <xf numFmtId="0" fontId="0" fillId="0" borderId="0" xfId="0" applyAlignment="1">
      <alignment horizontal="center"/>
    </xf>
    <xf numFmtId="0" fontId="4" fillId="0" borderId="1" xfId="0" applyFont="1" applyBorder="1" applyAlignment="1">
      <alignment vertical="center"/>
    </xf>
    <xf numFmtId="164" fontId="4" fillId="0" borderId="1" xfId="0" applyNumberFormat="1" applyFont="1" applyBorder="1" applyAlignment="1">
      <alignment horizontal="center"/>
    </xf>
    <xf numFmtId="164" fontId="4" fillId="0" borderId="10" xfId="0" applyNumberFormat="1" applyFont="1" applyBorder="1" applyAlignment="1">
      <alignment horizontal="center"/>
    </xf>
    <xf numFmtId="164" fontId="4" fillId="0" borderId="12" xfId="0" applyNumberFormat="1" applyFont="1" applyBorder="1" applyAlignment="1">
      <alignment horizontal="center"/>
    </xf>
    <xf numFmtId="164" fontId="4" fillId="0" borderId="13" xfId="0" applyNumberFormat="1" applyFont="1" applyBorder="1" applyAlignment="1">
      <alignment horizontal="center"/>
    </xf>
    <xf numFmtId="0" fontId="4" fillId="0" borderId="9" xfId="0" applyFont="1" applyBorder="1" applyAlignment="1">
      <alignment horizontal="left"/>
    </xf>
    <xf numFmtId="0" fontId="4" fillId="0" borderId="1" xfId="0" applyFont="1" applyBorder="1" applyAlignment="1">
      <alignment horizontal="left"/>
    </xf>
    <xf numFmtId="0" fontId="4" fillId="0" borderId="11" xfId="0" applyFont="1" applyBorder="1" applyAlignment="1">
      <alignment horizontal="left"/>
    </xf>
    <xf numFmtId="0" fontId="4" fillId="0" borderId="12" xfId="0" applyFont="1" applyBorder="1" applyAlignment="1">
      <alignment horizontal="left"/>
    </xf>
    <xf numFmtId="0" fontId="17" fillId="4" borderId="40" xfId="0" applyFont="1" applyFill="1" applyBorder="1" applyAlignment="1">
      <alignment horizontal="center" vertical="center" textRotation="90"/>
    </xf>
    <xf numFmtId="0" fontId="17" fillId="4" borderId="63" xfId="0" applyFont="1" applyFill="1" applyBorder="1" applyAlignment="1">
      <alignment horizontal="center" vertical="center" textRotation="90"/>
    </xf>
    <xf numFmtId="0" fontId="17" fillId="4" borderId="72" xfId="0" applyFont="1" applyFill="1" applyBorder="1" applyAlignment="1">
      <alignment horizontal="center" vertical="center" textRotation="90"/>
    </xf>
    <xf numFmtId="0" fontId="12" fillId="5" borderId="73" xfId="0" applyFont="1" applyFill="1" applyBorder="1"/>
    <xf numFmtId="0" fontId="20" fillId="0" borderId="53" xfId="0" applyFont="1" applyBorder="1" applyAlignment="1">
      <alignment horizontal="left" vertical="center"/>
    </xf>
    <xf numFmtId="0" fontId="20" fillId="0" borderId="57" xfId="0" applyFont="1" applyBorder="1" applyAlignment="1">
      <alignment horizontal="left" vertical="center"/>
    </xf>
    <xf numFmtId="0" fontId="20" fillId="0" borderId="25" xfId="0" applyFont="1" applyBorder="1" applyAlignment="1">
      <alignment horizontal="left" vertical="center"/>
    </xf>
    <xf numFmtId="0" fontId="20" fillId="0" borderId="54" xfId="0" applyFont="1" applyBorder="1" applyAlignment="1">
      <alignment horizontal="left" vertical="center"/>
    </xf>
    <xf numFmtId="0" fontId="20" fillId="0" borderId="70" xfId="0" applyFont="1" applyBorder="1" applyAlignment="1">
      <alignment horizontal="left" vertical="center"/>
    </xf>
    <xf numFmtId="0" fontId="20" fillId="0" borderId="30" xfId="0" applyFont="1" applyBorder="1" applyAlignment="1">
      <alignment horizontal="left" vertical="center"/>
    </xf>
    <xf numFmtId="0" fontId="19" fillId="0" borderId="12" xfId="0" applyFont="1" applyBorder="1" applyAlignment="1">
      <alignment vertical="center" wrapText="1"/>
    </xf>
    <xf numFmtId="0" fontId="33" fillId="5" borderId="71" xfId="0" applyFont="1" applyFill="1" applyBorder="1" applyAlignment="1">
      <alignment horizontal="center"/>
    </xf>
    <xf numFmtId="0" fontId="33" fillId="5" borderId="44" xfId="0" applyFont="1" applyFill="1" applyBorder="1" applyAlignment="1">
      <alignment horizontal="center"/>
    </xf>
    <xf numFmtId="0" fontId="12" fillId="5" borderId="57" xfId="0" applyFont="1" applyFill="1" applyBorder="1" applyAlignment="1">
      <alignment horizontal="center"/>
    </xf>
    <xf numFmtId="0" fontId="12" fillId="5" borderId="45" xfId="0" applyFont="1" applyFill="1" applyBorder="1" applyAlignment="1">
      <alignment horizontal="center"/>
    </xf>
    <xf numFmtId="2"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2" fontId="4" fillId="0" borderId="53" xfId="0" applyNumberFormat="1" applyFont="1" applyBorder="1" applyAlignment="1">
      <alignment horizontal="center" vertical="center"/>
    </xf>
    <xf numFmtId="0" fontId="33" fillId="5" borderId="53" xfId="0" applyFont="1" applyFill="1" applyBorder="1" applyAlignment="1">
      <alignment horizontal="center"/>
    </xf>
    <xf numFmtId="0" fontId="33" fillId="5" borderId="57" xfId="0" applyFont="1" applyFill="1" applyBorder="1" applyAlignment="1">
      <alignment horizontal="center"/>
    </xf>
    <xf numFmtId="0" fontId="33" fillId="5" borderId="25" xfId="0" applyFont="1" applyFill="1" applyBorder="1" applyAlignment="1">
      <alignment horizontal="center"/>
    </xf>
    <xf numFmtId="0" fontId="12" fillId="5" borderId="5" xfId="0" applyFont="1" applyFill="1" applyBorder="1" applyAlignment="1">
      <alignment horizontal="center"/>
    </xf>
    <xf numFmtId="0" fontId="12" fillId="5" borderId="0" xfId="0" applyFont="1" applyFill="1" applyBorder="1" applyAlignment="1">
      <alignment horizontal="center"/>
    </xf>
    <xf numFmtId="0" fontId="12" fillId="5" borderId="5" xfId="0" applyFont="1" applyFill="1" applyBorder="1"/>
    <xf numFmtId="0" fontId="12" fillId="5" borderId="0" xfId="0" applyFont="1" applyFill="1" applyBorder="1"/>
    <xf numFmtId="0" fontId="12" fillId="5" borderId="60" xfId="0" applyFont="1" applyFill="1" applyBorder="1"/>
    <xf numFmtId="0" fontId="17" fillId="4" borderId="15" xfId="0" applyFont="1" applyFill="1" applyBorder="1" applyAlignment="1">
      <alignment horizontal="center" vertical="center" textRotation="90"/>
    </xf>
    <xf numFmtId="0" fontId="17" fillId="4" borderId="16" xfId="0" applyFont="1" applyFill="1" applyBorder="1" applyAlignment="1">
      <alignment horizontal="center" vertical="center" textRotation="90"/>
    </xf>
    <xf numFmtId="0" fontId="17" fillId="4" borderId="17" xfId="0" applyFont="1" applyFill="1" applyBorder="1" applyAlignment="1">
      <alignment horizontal="center" vertical="center" textRotation="90"/>
    </xf>
    <xf numFmtId="0" fontId="0" fillId="0" borderId="0" xfId="0" applyBorder="1"/>
    <xf numFmtId="0" fontId="0" fillId="0" borderId="3" xfId="0" applyBorder="1"/>
    <xf numFmtId="1" fontId="12" fillId="0" borderId="0" xfId="0" applyNumberFormat="1" applyFont="1" applyBorder="1" applyAlignment="1">
      <alignment horizontal="center"/>
    </xf>
    <xf numFmtId="1" fontId="12" fillId="0" borderId="3" xfId="0" applyNumberFormat="1" applyFont="1" applyBorder="1" applyAlignment="1">
      <alignment horizontal="center"/>
    </xf>
    <xf numFmtId="0" fontId="4" fillId="0" borderId="47" xfId="0" applyFont="1" applyBorder="1"/>
    <xf numFmtId="0" fontId="38" fillId="0" borderId="43" xfId="0" applyFont="1" applyBorder="1" applyAlignment="1">
      <alignment horizontal="justify" vertical="center" wrapText="1"/>
    </xf>
    <xf numFmtId="0" fontId="38" fillId="0" borderId="47" xfId="0" applyFont="1" applyBorder="1" applyAlignment="1">
      <alignment horizontal="justify" vertical="center" wrapText="1"/>
    </xf>
    <xf numFmtId="0" fontId="38" fillId="0" borderId="48" xfId="0" applyFont="1" applyBorder="1" applyAlignment="1">
      <alignment horizontal="justify" vertical="center" wrapText="1"/>
    </xf>
    <xf numFmtId="0" fontId="12" fillId="0" borderId="0" xfId="0" applyFont="1" applyBorder="1" applyAlignment="1">
      <alignment horizontal="right"/>
    </xf>
    <xf numFmtId="0" fontId="12" fillId="5" borderId="7" xfId="0" applyFont="1" applyFill="1" applyBorder="1" applyAlignment="1">
      <alignment horizontal="center"/>
    </xf>
    <xf numFmtId="0" fontId="12" fillId="5" borderId="6" xfId="0" applyFont="1" applyFill="1" applyBorder="1" applyAlignment="1">
      <alignment horizontal="center"/>
    </xf>
    <xf numFmtId="0" fontId="12" fillId="5" borderId="8" xfId="0" applyFont="1" applyFill="1" applyBorder="1" applyAlignment="1">
      <alignment horizontal="center"/>
    </xf>
    <xf numFmtId="164" fontId="4" fillId="0" borderId="0" xfId="0" applyNumberFormat="1" applyFont="1" applyFill="1" applyBorder="1" applyAlignment="1">
      <alignment horizontal="center"/>
    </xf>
    <xf numFmtId="2" fontId="4" fillId="0" borderId="0" xfId="0" applyNumberFormat="1" applyFont="1" applyBorder="1"/>
    <xf numFmtId="0" fontId="4" fillId="0" borderId="16" xfId="0" applyFont="1" applyBorder="1"/>
    <xf numFmtId="0" fontId="4" fillId="0" borderId="0" xfId="0" applyFont="1" applyBorder="1"/>
    <xf numFmtId="0" fontId="0" fillId="0" borderId="16" xfId="0" applyBorder="1"/>
    <xf numFmtId="164" fontId="4" fillId="0" borderId="5" xfId="0" applyNumberFormat="1" applyFont="1" applyFill="1" applyBorder="1" applyAlignment="1">
      <alignment horizontal="center"/>
    </xf>
    <xf numFmtId="49" fontId="12" fillId="4" borderId="0" xfId="0" applyNumberFormat="1" applyFont="1" applyFill="1"/>
    <xf numFmtId="0" fontId="12" fillId="4" borderId="0" xfId="0" applyNumberFormat="1" applyFont="1" applyFill="1"/>
    <xf numFmtId="0" fontId="12" fillId="5" borderId="6" xfId="0" applyFont="1" applyFill="1" applyBorder="1"/>
    <xf numFmtId="0" fontId="12" fillId="5" borderId="7" xfId="0" applyFont="1" applyFill="1" applyBorder="1"/>
    <xf numFmtId="0" fontId="12" fillId="5" borderId="8" xfId="0" applyFont="1" applyFill="1" applyBorder="1"/>
    <xf numFmtId="0" fontId="12" fillId="5" borderId="35" xfId="0" applyFont="1" applyFill="1" applyBorder="1" applyAlignment="1">
      <alignment horizontal="center"/>
    </xf>
    <xf numFmtId="2" fontId="4" fillId="0" borderId="36" xfId="0" applyNumberFormat="1" applyFont="1" applyBorder="1" applyAlignment="1">
      <alignment horizontal="center"/>
    </xf>
    <xf numFmtId="2" fontId="4" fillId="0" borderId="70" xfId="0" applyNumberFormat="1" applyFont="1" applyBorder="1" applyAlignment="1">
      <alignment horizontal="center"/>
    </xf>
    <xf numFmtId="2" fontId="4" fillId="0" borderId="46" xfId="0" applyNumberFormat="1" applyFont="1" applyBorder="1" applyAlignment="1">
      <alignment horizontal="center"/>
    </xf>
    <xf numFmtId="2" fontId="4" fillId="0" borderId="12" xfId="0" applyNumberFormat="1" applyFont="1" applyBorder="1" applyAlignment="1">
      <alignment horizontal="center" vertical="center"/>
    </xf>
    <xf numFmtId="0" fontId="4" fillId="0" borderId="12" xfId="0" applyFont="1" applyBorder="1" applyAlignment="1">
      <alignment horizontal="center" vertical="center"/>
    </xf>
    <xf numFmtId="0" fontId="34" fillId="5" borderId="53" xfId="0" applyFont="1" applyFill="1" applyBorder="1" applyAlignment="1">
      <alignment horizontal="center" wrapText="1"/>
    </xf>
    <xf numFmtId="0" fontId="33" fillId="5" borderId="57" xfId="0" applyFont="1" applyFill="1" applyBorder="1" applyAlignment="1">
      <alignment horizontal="center" wrapText="1"/>
    </xf>
    <xf numFmtId="0" fontId="33" fillId="5" borderId="45" xfId="0" applyFont="1" applyFill="1" applyBorder="1" applyAlignment="1">
      <alignment horizontal="center" wrapText="1"/>
    </xf>
    <xf numFmtId="0" fontId="3" fillId="0" borderId="38" xfId="0" applyFont="1" applyBorder="1" applyAlignment="1">
      <alignment horizontal="center" vertical="center"/>
    </xf>
    <xf numFmtId="0" fontId="3" fillId="0" borderId="51" xfId="0" applyFont="1" applyBorder="1" applyAlignment="1">
      <alignment horizontal="center" vertical="center"/>
    </xf>
    <xf numFmtId="0" fontId="3" fillId="0" borderId="69" xfId="0" applyFont="1" applyBorder="1" applyAlignment="1">
      <alignment horizontal="center" vertical="center"/>
    </xf>
    <xf numFmtId="0" fontId="87" fillId="0" borderId="15" xfId="0" applyFont="1" applyBorder="1" applyAlignment="1">
      <alignment horizontal="center" vertical="center"/>
    </xf>
    <xf numFmtId="0" fontId="87" fillId="0" borderId="16" xfId="0" applyFont="1" applyBorder="1" applyAlignment="1">
      <alignment horizontal="center" vertical="center"/>
    </xf>
    <xf numFmtId="0" fontId="87" fillId="0" borderId="6" xfId="0" applyFont="1" applyBorder="1" applyAlignment="1">
      <alignment horizontal="center" vertical="center"/>
    </xf>
    <xf numFmtId="0" fontId="87" fillId="0" borderId="9" xfId="0" applyFont="1" applyBorder="1" applyAlignment="1">
      <alignment horizontal="center" vertical="center"/>
    </xf>
    <xf numFmtId="0" fontId="87" fillId="0" borderId="65" xfId="0" applyFont="1" applyBorder="1" applyAlignment="1">
      <alignment horizontal="center" vertical="center"/>
    </xf>
    <xf numFmtId="0" fontId="87" fillId="0" borderId="8" xfId="0" applyFont="1" applyBorder="1" applyAlignment="1">
      <alignment horizontal="center" vertical="center"/>
    </xf>
    <xf numFmtId="0" fontId="87" fillId="0" borderId="10" xfId="0" applyFont="1" applyBorder="1" applyAlignment="1">
      <alignment horizontal="center" vertical="center"/>
    </xf>
    <xf numFmtId="0" fontId="87" fillId="0" borderId="68" xfId="0" applyFont="1" applyBorder="1" applyAlignment="1">
      <alignment horizontal="center" vertical="center"/>
    </xf>
    <xf numFmtId="0" fontId="88" fillId="0" borderId="5" xfId="0" applyFont="1" applyBorder="1" applyAlignment="1">
      <alignment horizontal="center" vertical="center"/>
    </xf>
    <xf numFmtId="0" fontId="88" fillId="0" borderId="0" xfId="0" applyFont="1" applyBorder="1" applyAlignment="1">
      <alignment horizontal="center" vertical="center"/>
    </xf>
    <xf numFmtId="0" fontId="87" fillId="0" borderId="7" xfId="0" applyFont="1" applyBorder="1" applyAlignment="1">
      <alignment horizontal="center" vertical="center"/>
    </xf>
    <xf numFmtId="0" fontId="87" fillId="0" borderId="1" xfId="0" applyFont="1" applyBorder="1" applyAlignment="1">
      <alignment horizontal="center" vertical="center"/>
    </xf>
    <xf numFmtId="0" fontId="87" fillId="0" borderId="20" xfId="0" applyFont="1" applyBorder="1" applyAlignment="1">
      <alignment horizontal="center" vertical="center"/>
    </xf>
    <xf numFmtId="0" fontId="87" fillId="0" borderId="52" xfId="0" applyFont="1" applyBorder="1" applyAlignment="1">
      <alignment horizontal="center" vertical="center"/>
    </xf>
    <xf numFmtId="0" fontId="87" fillId="0" borderId="53" xfId="0" applyFont="1" applyBorder="1" applyAlignment="1">
      <alignment horizontal="center" vertical="center"/>
    </xf>
    <xf numFmtId="0" fontId="87" fillId="0" borderId="50" xfId="0" applyFont="1" applyBorder="1" applyAlignment="1">
      <alignment horizontal="center" vertical="center"/>
    </xf>
    <xf numFmtId="0" fontId="87" fillId="0" borderId="10" xfId="0" applyFont="1" applyFill="1" applyBorder="1" applyAlignment="1">
      <alignment horizontal="center" vertical="center"/>
    </xf>
    <xf numFmtId="0" fontId="87" fillId="0" borderId="68" xfId="0" applyFont="1" applyFill="1" applyBorder="1" applyAlignment="1">
      <alignment horizontal="center" vertical="center"/>
    </xf>
    <xf numFmtId="0" fontId="87" fillId="24" borderId="38" xfId="0" applyFont="1" applyFill="1" applyBorder="1" applyAlignment="1">
      <alignment horizontal="center" vertical="center"/>
    </xf>
    <xf numFmtId="0" fontId="87" fillId="24" borderId="51" xfId="0" applyFont="1" applyFill="1" applyBorder="1" applyAlignment="1">
      <alignment horizontal="center" vertical="center"/>
    </xf>
    <xf numFmtId="0" fontId="87" fillId="0" borderId="40" xfId="0" applyFont="1" applyFill="1" applyBorder="1" applyAlignment="1">
      <alignment horizontal="center" vertical="center"/>
    </xf>
    <xf numFmtId="0" fontId="87" fillId="0" borderId="37" xfId="0" applyFont="1" applyFill="1" applyBorder="1" applyAlignment="1">
      <alignment horizontal="center" vertical="center"/>
    </xf>
    <xf numFmtId="0" fontId="87" fillId="0" borderId="49" xfId="0" applyFont="1" applyFill="1" applyBorder="1" applyAlignment="1">
      <alignment horizontal="center" vertical="center"/>
    </xf>
    <xf numFmtId="0" fontId="87" fillId="0" borderId="19" xfId="0" applyFont="1" applyFill="1" applyBorder="1" applyAlignment="1">
      <alignment horizontal="center" vertical="center"/>
    </xf>
    <xf numFmtId="0" fontId="87" fillId="0" borderId="41" xfId="0" applyFont="1" applyFill="1" applyBorder="1" applyAlignment="1">
      <alignment horizontal="center" vertical="center"/>
    </xf>
    <xf numFmtId="0" fontId="87" fillId="0" borderId="29" xfId="0" applyFont="1" applyFill="1" applyBorder="1" applyAlignment="1">
      <alignment horizontal="center" vertical="center"/>
    </xf>
    <xf numFmtId="0" fontId="87" fillId="0" borderId="1" xfId="0" applyFont="1" applyFill="1" applyBorder="1" applyAlignment="1">
      <alignment horizontal="center" vertical="center"/>
    </xf>
    <xf numFmtId="0" fontId="87"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4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8" xfId="0" applyFont="1" applyBorder="1" applyAlignment="1">
      <alignment horizontal="center" vertical="center" wrapText="1"/>
    </xf>
    <xf numFmtId="0" fontId="87" fillId="24" borderId="69" xfId="0" applyFont="1" applyFill="1" applyBorder="1" applyAlignment="1">
      <alignment horizontal="center" vertical="center"/>
    </xf>
    <xf numFmtId="0" fontId="87" fillId="0" borderId="73" xfId="0" applyFont="1" applyFill="1" applyBorder="1" applyAlignment="1">
      <alignment horizontal="center" vertical="center"/>
    </xf>
    <xf numFmtId="0" fontId="87" fillId="0" borderId="25" xfId="0" applyFont="1" applyFill="1" applyBorder="1" applyAlignment="1">
      <alignment horizontal="center" vertical="center"/>
    </xf>
    <xf numFmtId="0" fontId="87" fillId="0" borderId="30" xfId="0" applyFont="1" applyFill="1" applyBorder="1" applyAlignment="1">
      <alignment horizontal="center" vertical="center"/>
    </xf>
    <xf numFmtId="0" fontId="3" fillId="18" borderId="15" xfId="0" applyFont="1" applyFill="1" applyBorder="1" applyAlignment="1">
      <alignment horizontal="center" vertical="center"/>
    </xf>
    <xf numFmtId="0" fontId="3" fillId="18" borderId="5" xfId="0" applyFont="1" applyFill="1" applyBorder="1" applyAlignment="1">
      <alignment horizontal="center" vertical="center"/>
    </xf>
    <xf numFmtId="0" fontId="3" fillId="18" borderId="2" xfId="0" applyFont="1" applyFill="1" applyBorder="1" applyAlignment="1">
      <alignment horizontal="center" vertical="center"/>
    </xf>
    <xf numFmtId="0" fontId="87" fillId="0" borderId="17" xfId="0" applyFont="1" applyBorder="1" applyAlignment="1">
      <alignment horizontal="center" vertical="center"/>
    </xf>
    <xf numFmtId="0" fontId="87" fillId="0" borderId="11" xfId="0" applyFont="1" applyBorder="1" applyAlignment="1">
      <alignment horizontal="center" vertical="center"/>
    </xf>
    <xf numFmtId="0" fontId="87" fillId="0" borderId="13" xfId="0" applyFont="1" applyBorder="1" applyAlignment="1">
      <alignment horizontal="center" vertical="center"/>
    </xf>
    <xf numFmtId="0" fontId="88" fillId="0" borderId="4" xfId="0" applyFont="1" applyBorder="1" applyAlignment="1">
      <alignment horizontal="center" vertical="center"/>
    </xf>
    <xf numFmtId="0" fontId="87" fillId="0" borderId="12" xfId="0" applyFont="1" applyBorder="1" applyAlignment="1">
      <alignment horizontal="center" vertical="center"/>
    </xf>
    <xf numFmtId="0" fontId="87" fillId="0" borderId="54" xfId="0" applyFont="1" applyBorder="1" applyAlignment="1">
      <alignment horizontal="center" vertical="center"/>
    </xf>
    <xf numFmtId="0" fontId="87" fillId="0" borderId="61" xfId="0" applyFont="1" applyFill="1" applyBorder="1" applyAlignment="1">
      <alignment horizontal="center" vertical="center"/>
    </xf>
    <xf numFmtId="0" fontId="87" fillId="0" borderId="52" xfId="0" applyFont="1" applyFill="1" applyBorder="1" applyAlignment="1">
      <alignment horizontal="center" vertical="center"/>
    </xf>
    <xf numFmtId="0" fontId="87" fillId="0" borderId="53" xfId="0" applyFont="1" applyFill="1" applyBorder="1" applyAlignment="1">
      <alignment horizontal="center" vertical="center"/>
    </xf>
    <xf numFmtId="0" fontId="87" fillId="0" borderId="50" xfId="0" applyFont="1" applyFill="1" applyBorder="1" applyAlignment="1">
      <alignment horizontal="center" vertical="center"/>
    </xf>
    <xf numFmtId="0" fontId="87" fillId="0" borderId="9" xfId="0" applyFont="1" applyFill="1" applyBorder="1" applyAlignment="1">
      <alignment horizontal="center" vertical="center"/>
    </xf>
    <xf numFmtId="0" fontId="87" fillId="0" borderId="65" xfId="0" applyFont="1" applyFill="1" applyBorder="1" applyAlignment="1">
      <alignment horizontal="center" vertical="center"/>
    </xf>
    <xf numFmtId="0" fontId="3" fillId="18" borderId="43" xfId="0" applyFont="1" applyFill="1" applyBorder="1" applyAlignment="1">
      <alignment horizontal="center" vertical="center"/>
    </xf>
    <xf numFmtId="0" fontId="3" fillId="18" borderId="47" xfId="0" applyFont="1" applyFill="1" applyBorder="1" applyAlignment="1">
      <alignment horizontal="center" vertical="center"/>
    </xf>
    <xf numFmtId="0" fontId="3" fillId="18" borderId="48" xfId="0" applyFont="1" applyFill="1" applyBorder="1" applyAlignment="1">
      <alignment horizontal="center" vertical="center"/>
    </xf>
    <xf numFmtId="0" fontId="3" fillId="0" borderId="16" xfId="0" applyFont="1" applyBorder="1" applyAlignment="1">
      <alignment horizontal="center" vertical="center"/>
    </xf>
    <xf numFmtId="0" fontId="87" fillId="0" borderId="37" xfId="0" applyFont="1" applyBorder="1" applyAlignment="1">
      <alignment horizontal="center" vertical="center"/>
    </xf>
    <xf numFmtId="0" fontId="87" fillId="0" borderId="29"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59" xfId="0" applyFont="1" applyBorder="1" applyAlignment="1">
      <alignment horizontal="center" vertical="center"/>
    </xf>
    <xf numFmtId="0" fontId="3" fillId="0" borderId="53" xfId="0" applyFont="1" applyBorder="1" applyAlignment="1">
      <alignment horizontal="center" vertical="center"/>
    </xf>
    <xf numFmtId="0" fontId="3" fillId="0" borderId="50" xfId="0" applyFont="1" applyBorder="1" applyAlignment="1">
      <alignment horizontal="center" vertical="center"/>
    </xf>
    <xf numFmtId="0" fontId="3" fillId="24" borderId="51"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37" xfId="0" applyFont="1" applyFill="1" applyBorder="1" applyAlignment="1">
      <alignment horizontal="center" vertical="center"/>
    </xf>
    <xf numFmtId="0" fontId="87" fillId="0" borderId="54" xfId="0" applyFont="1" applyFill="1" applyBorder="1" applyAlignment="1">
      <alignment horizontal="center" vertical="center"/>
    </xf>
    <xf numFmtId="0" fontId="87" fillId="0" borderId="11" xfId="0" applyFont="1" applyFill="1" applyBorder="1" applyAlignment="1">
      <alignment horizontal="center" vertical="center"/>
    </xf>
    <xf numFmtId="0" fontId="87" fillId="0" borderId="12" xfId="0" applyFont="1" applyFill="1" applyBorder="1" applyAlignment="1">
      <alignment horizontal="center" vertical="center"/>
    </xf>
    <xf numFmtId="0" fontId="87" fillId="0" borderId="13"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3" fillId="24" borderId="38" xfId="0" applyFont="1" applyFill="1" applyBorder="1" applyAlignment="1">
      <alignment horizontal="center" vertical="center"/>
    </xf>
    <xf numFmtId="0" fontId="3" fillId="24" borderId="6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65" xfId="0" applyFont="1" applyBorder="1" applyAlignment="1">
      <alignment horizontal="center" vertical="center"/>
    </xf>
    <xf numFmtId="0" fontId="3" fillId="0" borderId="17" xfId="0" applyFont="1" applyBorder="1" applyAlignment="1">
      <alignment horizontal="left" vertical="center"/>
    </xf>
    <xf numFmtId="0" fontId="3" fillId="0" borderId="4" xfId="0" applyFont="1" applyBorder="1" applyAlignment="1">
      <alignment horizontal="left" vertical="center"/>
    </xf>
    <xf numFmtId="0" fontId="3" fillId="0" borderId="18" xfId="0" applyFont="1" applyBorder="1" applyAlignment="1">
      <alignment horizontal="left" vertical="center"/>
    </xf>
    <xf numFmtId="0" fontId="3" fillId="18" borderId="17" xfId="0" applyFont="1" applyFill="1" applyBorder="1" applyAlignment="1">
      <alignment horizontal="center" vertical="center"/>
    </xf>
    <xf numFmtId="0" fontId="3" fillId="18" borderId="4" xfId="0" applyFont="1" applyFill="1" applyBorder="1" applyAlignment="1">
      <alignment horizontal="center" vertical="center"/>
    </xf>
    <xf numFmtId="0" fontId="3" fillId="18" borderId="18" xfId="0" applyFont="1" applyFill="1" applyBorder="1" applyAlignment="1">
      <alignment horizontal="center" vertical="center"/>
    </xf>
    <xf numFmtId="0" fontId="3" fillId="0" borderId="43" xfId="0" applyFont="1" applyFill="1" applyBorder="1" applyAlignment="1">
      <alignment horizontal="left" vertical="center"/>
    </xf>
    <xf numFmtId="0" fontId="3" fillId="0" borderId="47" xfId="0" applyFont="1" applyFill="1" applyBorder="1" applyAlignment="1">
      <alignment horizontal="left" vertical="center"/>
    </xf>
    <xf numFmtId="0" fontId="3" fillId="0" borderId="48" xfId="0" applyFont="1" applyFill="1" applyBorder="1" applyAlignment="1">
      <alignment horizontal="left" vertical="center"/>
    </xf>
    <xf numFmtId="0" fontId="3" fillId="24" borderId="47" xfId="0" applyFont="1" applyFill="1" applyBorder="1" applyAlignment="1">
      <alignment horizontal="center" vertical="center"/>
    </xf>
    <xf numFmtId="0" fontId="3" fillId="24" borderId="48" xfId="0" applyFont="1" applyFill="1" applyBorder="1" applyAlignment="1">
      <alignment horizontal="center" vertical="center"/>
    </xf>
    <xf numFmtId="0" fontId="3" fillId="0" borderId="11" xfId="0" applyFont="1" applyBorder="1" applyAlignment="1">
      <alignment horizontal="center" vertical="center"/>
    </xf>
    <xf numFmtId="0" fontId="3" fillId="0" borderId="37" xfId="0" applyFont="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74" fillId="0" borderId="0" xfId="1" applyFont="1" applyBorder="1" applyAlignment="1">
      <alignment horizontal="center" vertical="center" wrapText="1"/>
    </xf>
    <xf numFmtId="0" fontId="1" fillId="0" borderId="0" xfId="1" applyFont="1" applyBorder="1" applyAlignment="1">
      <alignment horizontal="center" vertical="center"/>
    </xf>
    <xf numFmtId="0" fontId="1" fillId="0" borderId="0" xfId="1" applyFont="1" applyBorder="1" applyAlignment="1">
      <alignment horizontal="center"/>
    </xf>
    <xf numFmtId="0" fontId="67" fillId="0" borderId="0" xfId="1" applyFont="1" applyAlignment="1">
      <alignment horizontal="left"/>
    </xf>
    <xf numFmtId="0" fontId="2" fillId="0" borderId="1" xfId="1" applyBorder="1" applyAlignment="1">
      <alignment horizontal="center"/>
    </xf>
    <xf numFmtId="0" fontId="76" fillId="0" borderId="0" xfId="1" applyFont="1" applyBorder="1" applyAlignment="1">
      <alignment horizontal="center" wrapText="1"/>
    </xf>
    <xf numFmtId="0" fontId="76" fillId="0" borderId="0" xfId="1" applyFont="1" applyBorder="1" applyAlignment="1">
      <alignment horizontal="center" vertical="center" wrapText="1"/>
    </xf>
    <xf numFmtId="0" fontId="1" fillId="0" borderId="53" xfId="1" applyFont="1" applyBorder="1" applyAlignment="1">
      <alignment horizontal="center"/>
    </xf>
    <xf numFmtId="0" fontId="2" fillId="0" borderId="25" xfId="1" applyBorder="1" applyAlignment="1">
      <alignment horizontal="center"/>
    </xf>
    <xf numFmtId="0" fontId="4" fillId="0" borderId="0" xfId="0" applyFont="1"/>
    <xf numFmtId="0" fontId="4" fillId="0" borderId="1" xfId="0" applyFont="1" applyBorder="1" applyProtection="1">
      <protection locked="0"/>
    </xf>
    <xf numFmtId="0" fontId="4" fillId="0" borderId="53" xfId="0" applyFont="1" applyBorder="1" applyProtection="1">
      <protection locked="0"/>
    </xf>
    <xf numFmtId="0" fontId="4" fillId="0" borderId="57" xfId="0" applyFont="1" applyBorder="1" applyProtection="1">
      <protection locked="0"/>
    </xf>
    <xf numFmtId="0" fontId="4" fillId="0" borderId="25" xfId="0" applyFont="1" applyBorder="1" applyProtection="1">
      <protection locked="0"/>
    </xf>
    <xf numFmtId="0" fontId="0" fillId="0" borderId="4" xfId="0" applyBorder="1"/>
    <xf numFmtId="0" fontId="0" fillId="0" borderId="0" xfId="0" applyAlignment="1">
      <alignment horizontal="center" wrapText="1"/>
    </xf>
  </cellXfs>
  <cellStyles count="8">
    <cellStyle name="Hipervínculo" xfId="2" builtinId="8" hidden="1"/>
    <cellStyle name="Hipervínculo" xfId="4" builtinId="8" hidden="1"/>
    <cellStyle name="Hipervínculo" xfId="6" builtinId="8" hidden="1"/>
    <cellStyle name="Hipervínculo visitado" xfId="3" builtinId="9" hidden="1"/>
    <cellStyle name="Hipervínculo visitado" xfId="5" builtinId="9" hidden="1"/>
    <cellStyle name="Hipervínculo visitado" xfId="7" builtinId="9" hidden="1"/>
    <cellStyle name="Normal" xfId="0" builtinId="0"/>
    <cellStyle name="Normal 2" xfId="1"/>
  </cellStyles>
  <dxfs count="85">
    <dxf>
      <font>
        <b/>
        <i val="0"/>
        <condense val="0"/>
        <extend val="0"/>
        <color indexed="52"/>
      </font>
      <fill>
        <patternFill>
          <bgColor indexed="43"/>
        </patternFill>
      </fill>
    </dxf>
    <dxf>
      <font>
        <b/>
        <i val="0"/>
        <condense val="0"/>
        <extend val="0"/>
        <color indexed="52"/>
      </font>
      <fill>
        <patternFill>
          <bgColor indexed="43"/>
        </patternFill>
      </fill>
    </dxf>
    <dxf>
      <font>
        <b/>
        <i val="0"/>
        <condense val="0"/>
        <extend val="0"/>
        <color indexed="52"/>
      </font>
      <fill>
        <patternFill>
          <bgColor indexed="43"/>
        </patternFill>
      </fill>
    </dxf>
    <dxf>
      <font>
        <b/>
        <i val="0"/>
        <condense val="0"/>
        <extend val="0"/>
        <color indexed="52"/>
      </font>
      <fill>
        <patternFill>
          <bgColor indexed="43"/>
        </patternFill>
      </fill>
    </dxf>
    <dxf>
      <font>
        <b/>
        <i val="0"/>
        <condense val="0"/>
        <extend val="0"/>
        <color indexed="52"/>
      </font>
      <fill>
        <patternFill>
          <bgColor indexed="43"/>
        </patternFill>
      </fill>
    </dxf>
    <dxf>
      <font>
        <b/>
        <i val="0"/>
        <condense val="0"/>
        <extend val="0"/>
        <color indexed="10"/>
      </font>
      <fill>
        <patternFill>
          <bgColor indexed="43"/>
        </patternFill>
      </fill>
    </dxf>
    <dxf>
      <fill>
        <patternFill>
          <bgColor indexed="52"/>
        </patternFill>
      </fill>
    </dxf>
    <dxf>
      <font>
        <condense val="0"/>
        <extend val="0"/>
        <color auto="1"/>
      </font>
      <fill>
        <patternFill>
          <bgColor indexed="13"/>
        </patternFill>
      </fill>
    </dxf>
    <dxf>
      <fill>
        <patternFill>
          <bgColor indexed="17"/>
        </patternFill>
      </fill>
    </dxf>
    <dxf>
      <fill>
        <patternFill>
          <bgColor indexed="17"/>
        </patternFill>
      </fill>
    </dxf>
    <dxf>
      <font>
        <condense val="0"/>
        <extend val="0"/>
        <color indexed="9"/>
      </font>
      <fill>
        <patternFill>
          <bgColor indexed="57"/>
        </patternFill>
      </fill>
    </dxf>
    <dxf>
      <fill>
        <patternFill>
          <bgColor indexed="57"/>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7"/>
        </patternFill>
      </fill>
    </dxf>
    <dxf>
      <fill>
        <patternFill>
          <bgColor indexed="10"/>
        </patternFill>
      </fill>
    </dxf>
    <dxf>
      <fill>
        <patternFill>
          <bgColor indexed="52"/>
        </patternFill>
      </fill>
    </dxf>
    <dxf>
      <font>
        <condense val="0"/>
        <extend val="0"/>
        <color indexed="8"/>
      </font>
      <fill>
        <patternFill>
          <bgColor indexed="51"/>
        </patternFill>
      </fill>
    </dxf>
    <dxf>
      <font>
        <condense val="0"/>
        <extend val="0"/>
        <color indexed="8"/>
      </font>
      <fill>
        <patternFill>
          <bgColor indexed="13"/>
        </patternFill>
      </fill>
    </dxf>
    <dxf>
      <fill>
        <patternFill>
          <bgColor indexed="11"/>
        </patternFill>
      </fill>
    </dxf>
    <dxf>
      <fill>
        <patternFill>
          <bgColor indexed="57"/>
        </patternFill>
      </fill>
    </dxf>
    <dxf>
      <fill>
        <patternFill>
          <bgColor indexed="11"/>
        </patternFill>
      </fill>
    </dxf>
    <dxf>
      <fill>
        <patternFill>
          <bgColor indexed="11"/>
        </patternFill>
      </fill>
    </dxf>
    <dxf>
      <fill>
        <patternFill>
          <bgColor indexed="17"/>
        </patternFill>
      </fill>
    </dxf>
    <dxf>
      <fill>
        <patternFill>
          <bgColor indexed="57"/>
        </patternFill>
      </fill>
    </dxf>
    <dxf>
      <font>
        <condense val="0"/>
        <extend val="0"/>
        <color indexed="8"/>
      </font>
      <fill>
        <patternFill>
          <bgColor indexed="13"/>
        </patternFill>
      </fill>
    </dxf>
    <dxf>
      <fill>
        <patternFill>
          <bgColor indexed="10"/>
        </patternFill>
      </fill>
    </dxf>
    <dxf>
      <fill>
        <patternFill>
          <bgColor indexed="52"/>
        </patternFill>
      </fill>
    </dxf>
    <dxf>
      <font>
        <condense val="0"/>
        <extend val="0"/>
        <color indexed="8"/>
      </font>
      <fill>
        <patternFill>
          <bgColor indexed="51"/>
        </patternFill>
      </fill>
    </dxf>
    <dxf>
      <font>
        <condense val="0"/>
        <extend val="0"/>
        <color indexed="8"/>
      </font>
      <fill>
        <patternFill>
          <bgColor indexed="13"/>
        </patternFill>
      </fill>
    </dxf>
    <dxf>
      <font>
        <condense val="0"/>
        <extend val="0"/>
        <color indexed="8"/>
      </font>
      <fill>
        <patternFill>
          <bgColor indexed="51"/>
        </patternFill>
      </fill>
    </dxf>
    <dxf>
      <fill>
        <patternFill>
          <bgColor indexed="10"/>
        </patternFill>
      </fill>
    </dxf>
    <dxf>
      <fill>
        <patternFill>
          <bgColor indexed="52"/>
        </patternFill>
      </fill>
    </dxf>
    <dxf>
      <fill>
        <patternFill>
          <bgColor indexed="57"/>
        </patternFill>
      </fill>
    </dxf>
    <dxf>
      <fill>
        <patternFill>
          <bgColor indexed="17"/>
        </patternFill>
      </fill>
    </dxf>
    <dxf>
      <fill>
        <patternFill>
          <bgColor indexed="17"/>
        </patternFill>
      </fill>
    </dxf>
    <dxf>
      <fill>
        <patternFill>
          <bgColor indexed="17"/>
        </patternFill>
      </fill>
    </dxf>
    <dxf>
      <fill>
        <patternFill>
          <bgColor indexed="17"/>
        </patternFill>
      </fill>
    </dxf>
    <dxf>
      <fill>
        <patternFill>
          <bgColor indexed="17"/>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7"/>
        </patternFill>
      </fill>
    </dxf>
    <dxf>
      <font>
        <condense val="0"/>
        <extend val="0"/>
        <color indexed="8"/>
      </font>
    </dxf>
    <dxf>
      <font>
        <condense val="0"/>
        <extend val="0"/>
        <color indexed="55"/>
      </font>
      <fill>
        <patternFill>
          <bgColor indexed="55"/>
        </patternFill>
      </fill>
    </dxf>
    <dxf>
      <font>
        <condense val="0"/>
        <extend val="0"/>
        <color indexed="22"/>
      </font>
      <fill>
        <patternFill>
          <bgColor indexed="55"/>
        </patternFill>
      </fill>
    </dxf>
    <dxf>
      <font>
        <condense val="0"/>
        <extend val="0"/>
        <color indexed="55"/>
      </font>
      <fill>
        <patternFill>
          <bgColor indexed="55"/>
        </patternFill>
      </fill>
    </dxf>
    <dxf>
      <font>
        <condense val="0"/>
        <extend val="0"/>
        <color indexed="55"/>
      </font>
      <fill>
        <patternFill>
          <bgColor indexed="55"/>
        </patternFill>
      </fill>
    </dxf>
    <dxf>
      <font>
        <condense val="0"/>
        <extend val="0"/>
        <color indexed="55"/>
      </font>
      <fill>
        <patternFill>
          <bgColor indexed="55"/>
        </patternFill>
      </fill>
    </dxf>
    <dxf>
      <font>
        <b/>
        <i val="0"/>
        <condense val="0"/>
        <extend val="0"/>
        <color indexed="52"/>
      </font>
      <fill>
        <patternFill>
          <bgColor indexed="43"/>
        </patternFill>
      </fill>
    </dxf>
    <dxf>
      <font>
        <b/>
        <i val="0"/>
        <condense val="0"/>
        <extend val="0"/>
        <color indexed="52"/>
      </font>
      <fill>
        <patternFill>
          <bgColor indexed="43"/>
        </patternFill>
      </fill>
    </dxf>
    <dxf>
      <font>
        <b/>
        <i val="0"/>
        <condense val="0"/>
        <extend val="0"/>
        <color indexed="52"/>
      </font>
      <fill>
        <patternFill>
          <bgColor indexed="43"/>
        </patternFill>
      </fill>
    </dxf>
    <dxf>
      <font>
        <b/>
        <i val="0"/>
        <condense val="0"/>
        <extend val="0"/>
        <color indexed="52"/>
      </font>
      <fill>
        <patternFill>
          <bgColor indexed="43"/>
        </patternFill>
      </fill>
    </dxf>
    <dxf>
      <font>
        <condense val="0"/>
        <extend val="0"/>
        <color indexed="23"/>
      </font>
      <fill>
        <patternFill>
          <bgColor indexed="23"/>
        </patternFill>
      </fill>
    </dxf>
    <dxf>
      <font>
        <condense val="0"/>
        <extend val="0"/>
        <color indexed="55"/>
      </font>
      <fill>
        <patternFill>
          <bgColor indexed="55"/>
        </patternFill>
      </fill>
    </dxf>
    <dxf>
      <font>
        <condense val="0"/>
        <extend val="0"/>
        <color indexed="55"/>
      </font>
      <fill>
        <patternFill>
          <bgColor indexed="55"/>
        </patternFill>
      </fill>
    </dxf>
    <dxf>
      <font>
        <condense val="0"/>
        <extend val="0"/>
        <color indexed="55"/>
      </font>
      <fill>
        <patternFill>
          <bgColor indexed="55"/>
        </patternFill>
      </fill>
    </dxf>
    <dxf>
      <font>
        <condense val="0"/>
        <extend val="0"/>
        <color indexed="55"/>
      </font>
      <fill>
        <patternFill>
          <bgColor indexed="55"/>
        </patternFill>
      </fill>
    </dxf>
    <dxf>
      <font>
        <condense val="0"/>
        <extend val="0"/>
        <color indexed="17"/>
      </font>
      <fill>
        <patternFill patternType="solid">
          <bgColor indexed="17"/>
        </patternFill>
      </fill>
    </dxf>
    <dxf>
      <font>
        <condense val="0"/>
        <extend val="0"/>
        <color indexed="55"/>
      </font>
      <fill>
        <patternFill>
          <bgColor indexed="23"/>
        </patternFill>
      </fill>
    </dxf>
    <dxf>
      <font>
        <b/>
        <i val="0"/>
        <condense val="0"/>
        <extend val="0"/>
        <color indexed="10"/>
      </font>
    </dxf>
    <dxf>
      <font>
        <condense val="0"/>
        <extend val="0"/>
        <color indexed="17"/>
      </font>
    </dxf>
    <dxf>
      <font>
        <condense val="0"/>
        <extend val="0"/>
        <color indexed="22"/>
      </font>
      <fill>
        <patternFill>
          <bgColor indexed="55"/>
        </patternFill>
      </fill>
    </dxf>
    <dxf>
      <font>
        <condense val="0"/>
        <extend val="0"/>
        <color indexed="22"/>
      </font>
      <fill>
        <patternFill>
          <bgColor indexed="55"/>
        </patternFill>
      </fill>
    </dxf>
    <dxf>
      <font>
        <condense val="0"/>
        <extend val="0"/>
        <color indexed="22"/>
      </font>
      <fill>
        <patternFill>
          <bgColor indexed="55"/>
        </patternFill>
      </fill>
    </dxf>
    <dxf>
      <font>
        <condense val="0"/>
        <extend val="0"/>
        <color indexed="55"/>
      </font>
      <fill>
        <patternFill>
          <bgColor indexed="23"/>
        </patternFill>
      </fill>
    </dxf>
    <dxf>
      <font>
        <b/>
        <i val="0"/>
        <condense val="0"/>
        <extend val="0"/>
        <color indexed="52"/>
      </font>
      <fill>
        <patternFill>
          <bgColor indexed="43"/>
        </patternFill>
      </fill>
    </dxf>
    <dxf>
      <font>
        <b/>
        <i val="0"/>
        <condense val="0"/>
        <extend val="0"/>
        <color indexed="52"/>
      </font>
      <fill>
        <patternFill>
          <bgColor indexed="43"/>
        </patternFill>
      </fill>
    </dxf>
    <dxf>
      <font>
        <b/>
        <i val="0"/>
        <condense val="0"/>
        <extend val="0"/>
        <color indexed="10"/>
      </font>
      <fill>
        <patternFill>
          <bgColor indexed="43"/>
        </patternFill>
      </fill>
    </dxf>
    <dxf>
      <fill>
        <patternFill>
          <bgColor indexed="53"/>
        </patternFill>
      </fill>
    </dxf>
    <dxf>
      <fill>
        <patternFill>
          <bgColor indexed="48"/>
        </patternFill>
      </fill>
    </dxf>
    <dxf>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033898305084804E-2"/>
          <c:y val="4.8192912841540515E-2"/>
          <c:w val="0.79661016949152497"/>
          <c:h val="0.61445963872964104"/>
        </c:manualLayout>
      </c:layout>
      <c:barChart>
        <c:barDir val="bar"/>
        <c:grouping val="clustered"/>
        <c:varyColors val="0"/>
        <c:ser>
          <c:idx val="0"/>
          <c:order val="0"/>
          <c:tx>
            <c:v>DPTO</c:v>
          </c:tx>
          <c:spPr>
            <a:gradFill rotWithShape="0">
              <a:gsLst>
                <a:gs pos="0">
                  <a:srgbClr val="FF0000"/>
                </a:gs>
                <a:gs pos="100000">
                  <a:srgbClr val="339966"/>
                </a:gs>
              </a:gsLst>
              <a:lin ang="5400000" scaled="1"/>
            </a:gradFill>
            <a:ln w="12700">
              <a:solidFill>
                <a:srgbClr val="000000"/>
              </a:solidFill>
              <a:prstDash val="solid"/>
            </a:ln>
          </c:spPr>
          <c:invertIfNegative val="0"/>
          <c:val>
            <c:numRef>
              <c:f>'R1'!$H$107</c:f>
              <c:numCache>
                <c:formatCode>0.0</c:formatCode>
                <c:ptCount val="1"/>
                <c:pt idx="0">
                  <c:v>40</c:v>
                </c:pt>
              </c:numCache>
            </c:numRef>
          </c:val>
        </c:ser>
        <c:ser>
          <c:idx val="1"/>
          <c:order val="1"/>
          <c:tx>
            <c:v>Casa pareada</c:v>
          </c:tx>
          <c:spPr>
            <a:gradFill rotWithShape="0">
              <a:gsLst>
                <a:gs pos="0">
                  <a:srgbClr val="FF0000"/>
                </a:gs>
                <a:gs pos="100000">
                  <a:srgbClr val="339966"/>
                </a:gs>
              </a:gsLst>
              <a:lin ang="5400000" scaled="1"/>
            </a:gradFill>
            <a:ln w="12700">
              <a:solidFill>
                <a:srgbClr val="000000"/>
              </a:solidFill>
              <a:prstDash val="solid"/>
            </a:ln>
          </c:spPr>
          <c:invertIfNegative val="0"/>
          <c:val>
            <c:numRef>
              <c:f>'R1'!$G$107</c:f>
              <c:numCache>
                <c:formatCode>0.0</c:formatCode>
                <c:ptCount val="1"/>
                <c:pt idx="0">
                  <c:v>100</c:v>
                </c:pt>
              </c:numCache>
            </c:numRef>
          </c:val>
        </c:ser>
        <c:ser>
          <c:idx val="2"/>
          <c:order val="2"/>
          <c:tx>
            <c:v>Casa aislada</c:v>
          </c:tx>
          <c:spPr>
            <a:gradFill rotWithShape="0">
              <a:gsLst>
                <a:gs pos="0">
                  <a:srgbClr val="FF0000"/>
                </a:gs>
                <a:gs pos="100000">
                  <a:srgbClr val="339966"/>
                </a:gs>
              </a:gsLst>
              <a:lin ang="5400000" scaled="1"/>
            </a:gradFill>
            <a:ln w="12700">
              <a:solidFill>
                <a:srgbClr val="000000"/>
              </a:solidFill>
              <a:prstDash val="solid"/>
            </a:ln>
          </c:spPr>
          <c:invertIfNegative val="0"/>
          <c:val>
            <c:numRef>
              <c:f>'R1'!$F$107</c:f>
              <c:numCache>
                <c:formatCode>0.0</c:formatCode>
                <c:ptCount val="1"/>
                <c:pt idx="0">
                  <c:v>125</c:v>
                </c:pt>
              </c:numCache>
            </c:numRef>
          </c:val>
        </c:ser>
        <c:dLbls>
          <c:showLegendKey val="0"/>
          <c:showVal val="0"/>
          <c:showCatName val="0"/>
          <c:showSerName val="0"/>
          <c:showPercent val="0"/>
          <c:showBubbleSize val="0"/>
        </c:dLbls>
        <c:gapWidth val="20"/>
        <c:overlap val="-30"/>
        <c:axId val="98702080"/>
        <c:axId val="98703616"/>
      </c:barChart>
      <c:catAx>
        <c:axId val="98702080"/>
        <c:scaling>
          <c:orientation val="minMax"/>
        </c:scaling>
        <c:delete val="1"/>
        <c:axPos val="l"/>
        <c:majorTickMark val="out"/>
        <c:minorTickMark val="none"/>
        <c:tickLblPos val="none"/>
        <c:crossAx val="98703616"/>
        <c:crosses val="autoZero"/>
        <c:auto val="1"/>
        <c:lblAlgn val="ctr"/>
        <c:lblOffset val="100"/>
        <c:noMultiLvlLbl val="0"/>
      </c:catAx>
      <c:valAx>
        <c:axId val="98703616"/>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omic Sans MS"/>
                <a:ea typeface="Comic Sans MS"/>
                <a:cs typeface="Comic Sans MS"/>
              </a:defRPr>
            </a:pPr>
            <a:endParaRPr lang="es-ES"/>
          </a:p>
        </c:txPr>
        <c:crossAx val="98702080"/>
        <c:crosses val="autoZero"/>
        <c:crossBetween val="between"/>
      </c:valAx>
      <c:spPr>
        <a:noFill/>
        <a:ln w="25400">
          <a:noFill/>
        </a:ln>
      </c:spPr>
    </c:plotArea>
    <c:plotVisOnly val="1"/>
    <c:dispBlanksAs val="gap"/>
    <c:showDLblsOverMax val="0"/>
  </c:chart>
  <c:spPr>
    <a:noFill/>
    <a:ln w="9525">
      <a:noFill/>
    </a:ln>
  </c:spPr>
  <c:txPr>
    <a:bodyPr/>
    <a:lstStyle/>
    <a:p>
      <a:pPr>
        <a:defRPr sz="500" b="0" i="0" u="none" strike="noStrike" baseline="0">
          <a:solidFill>
            <a:srgbClr val="000000"/>
          </a:solidFill>
          <a:latin typeface="Comic Sans MS"/>
          <a:ea typeface="Comic Sans MS"/>
          <a:cs typeface="Comic Sans MS"/>
        </a:defRPr>
      </a:pPr>
      <a:endParaRPr lang="es-ES"/>
    </a:p>
  </c:txPr>
  <c:printSettings>
    <c:headerFooter alignWithMargins="0"/>
    <c:pageMargins b="1" l="0.75000000000000011" r="0.75000000000000011"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48196289949899"/>
          <c:y val="7.8125596050995311E-2"/>
          <c:w val="0.76389234253988825"/>
          <c:h val="0.25000190736318501"/>
        </c:manualLayout>
      </c:layout>
      <c:barChart>
        <c:barDir val="bar"/>
        <c:grouping val="stacked"/>
        <c:varyColors val="0"/>
        <c:ser>
          <c:idx val="0"/>
          <c:order val="0"/>
          <c:spPr>
            <a:gradFill rotWithShape="0">
              <a:gsLst>
                <a:gs pos="0">
                  <a:srgbClr val="339966"/>
                </a:gs>
                <a:gs pos="100000">
                  <a:srgbClr val="FF0000"/>
                </a:gs>
              </a:gsLst>
              <a:lin ang="0" scaled="1"/>
            </a:gradFill>
            <a:ln w="12700">
              <a:solidFill>
                <a:srgbClr val="000000"/>
              </a:solidFill>
              <a:prstDash val="solid"/>
            </a:ln>
          </c:spPr>
          <c:invertIfNegative val="0"/>
          <c:val>
            <c:numRef>
              <c:f>Certificado!$C$34</c:f>
              <c:numCache>
                <c:formatCode>0.0</c:formatCode>
                <c:ptCount val="1"/>
                <c:pt idx="0">
                  <c:v>0</c:v>
                </c:pt>
              </c:numCache>
            </c:numRef>
          </c:val>
        </c:ser>
        <c:ser>
          <c:idx val="1"/>
          <c:order val="1"/>
          <c:spPr>
            <a:solidFill>
              <a:srgbClr val="993366"/>
            </a:solidFill>
            <a:ln w="12700">
              <a:solidFill>
                <a:srgbClr val="000000"/>
              </a:solidFill>
              <a:prstDash val="solid"/>
            </a:ln>
          </c:spPr>
          <c:invertIfNegative val="0"/>
          <c:val>
            <c:numRef>
              <c:f>Certificado!$D$34</c:f>
              <c:numCache>
                <c:formatCode>0.0</c:formatCode>
                <c:ptCount val="1"/>
              </c:numCache>
            </c:numRef>
          </c:val>
        </c:ser>
        <c:ser>
          <c:idx val="2"/>
          <c:order val="2"/>
          <c:spPr>
            <a:solidFill>
              <a:srgbClr val="FFFFCC"/>
            </a:solidFill>
            <a:ln w="12700">
              <a:solidFill>
                <a:srgbClr val="000000"/>
              </a:solidFill>
              <a:prstDash val="solid"/>
            </a:ln>
          </c:spPr>
          <c:invertIfNegative val="0"/>
          <c:val>
            <c:numRef>
              <c:f>Certificado!$E$34</c:f>
              <c:numCache>
                <c:formatCode>General</c:formatCode>
                <c:ptCount val="1"/>
                <c:pt idx="0">
                  <c:v>0</c:v>
                </c:pt>
              </c:numCache>
            </c:numRef>
          </c:val>
        </c:ser>
        <c:dLbls>
          <c:showLegendKey val="0"/>
          <c:showVal val="0"/>
          <c:showCatName val="0"/>
          <c:showSerName val="0"/>
          <c:showPercent val="0"/>
          <c:showBubbleSize val="0"/>
        </c:dLbls>
        <c:gapWidth val="30"/>
        <c:overlap val="100"/>
        <c:axId val="100736000"/>
        <c:axId val="100741888"/>
      </c:barChart>
      <c:catAx>
        <c:axId val="100736000"/>
        <c:scaling>
          <c:orientation val="minMax"/>
        </c:scaling>
        <c:delete val="1"/>
        <c:axPos val="l"/>
        <c:majorTickMark val="out"/>
        <c:minorTickMark val="none"/>
        <c:tickLblPos val="none"/>
        <c:crossAx val="100741888"/>
        <c:crosses val="autoZero"/>
        <c:auto val="1"/>
        <c:lblAlgn val="ctr"/>
        <c:lblOffset val="100"/>
        <c:noMultiLvlLbl val="0"/>
      </c:catAx>
      <c:valAx>
        <c:axId val="100741888"/>
        <c:scaling>
          <c:orientation val="minMax"/>
          <c:max val="120"/>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omic Sans MS"/>
                <a:ea typeface="Comic Sans MS"/>
                <a:cs typeface="Comic Sans MS"/>
              </a:defRPr>
            </a:pPr>
            <a:endParaRPr lang="es-ES"/>
          </a:p>
        </c:txPr>
        <c:crossAx val="100736000"/>
        <c:crosses val="autoZero"/>
        <c:crossBetween val="between"/>
        <c:majorUnit val="20"/>
        <c:minorUnit val="20"/>
      </c:valAx>
      <c:spPr>
        <a:noFill/>
        <a:ln w="25400">
          <a:noFill/>
        </a:ln>
      </c:spPr>
    </c:plotArea>
    <c:plotVisOnly val="1"/>
    <c:dispBlanksAs val="gap"/>
    <c:showDLblsOverMax val="0"/>
  </c:chart>
  <c:spPr>
    <a:noFill/>
    <a:ln w="9525">
      <a:noFill/>
    </a:ln>
  </c:spPr>
  <c:txPr>
    <a:bodyPr/>
    <a:lstStyle/>
    <a:p>
      <a:pPr>
        <a:defRPr sz="325" b="0" i="0" u="none" strike="noStrike" baseline="0">
          <a:solidFill>
            <a:srgbClr val="000000"/>
          </a:solidFill>
          <a:latin typeface="Comic Sans MS"/>
          <a:ea typeface="Comic Sans MS"/>
          <a:cs typeface="Comic Sans MS"/>
        </a:defRPr>
      </a:pPr>
      <a:endParaRPr lang="es-ES"/>
    </a:p>
  </c:txPr>
  <c:printSettings>
    <c:headerFooter alignWithMargins="0"/>
    <c:pageMargins b="1" l="0.75000000000000011" r="0.75000000000000011" t="1" header="0" footer="0"/>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033898305084804E-2"/>
          <c:y val="7.4627409539773315E-2"/>
          <c:w val="0.83474576271186407"/>
          <c:h val="0.23880771052727504"/>
        </c:manualLayout>
      </c:layout>
      <c:barChart>
        <c:barDir val="bar"/>
        <c:grouping val="stacked"/>
        <c:varyColors val="0"/>
        <c:ser>
          <c:idx val="0"/>
          <c:order val="0"/>
          <c:spPr>
            <a:gradFill rotWithShape="0">
              <a:gsLst>
                <a:gs pos="0">
                  <a:srgbClr val="339966"/>
                </a:gs>
                <a:gs pos="100000">
                  <a:srgbClr val="FF0000"/>
                </a:gs>
              </a:gsLst>
              <a:lin ang="0" scaled="1"/>
            </a:gradFill>
            <a:ln w="12700">
              <a:solidFill>
                <a:srgbClr val="000000"/>
              </a:solidFill>
              <a:prstDash val="solid"/>
            </a:ln>
          </c:spPr>
          <c:invertIfNegative val="0"/>
          <c:val>
            <c:numRef>
              <c:f>Certificado!$R$33</c:f>
              <c:numCache>
                <c:formatCode>0.00</c:formatCode>
                <c:ptCount val="1"/>
                <c:pt idx="0">
                  <c:v>0</c:v>
                </c:pt>
              </c:numCache>
            </c:numRef>
          </c:val>
        </c:ser>
        <c:dLbls>
          <c:showLegendKey val="0"/>
          <c:showVal val="0"/>
          <c:showCatName val="0"/>
          <c:showSerName val="0"/>
          <c:showPercent val="0"/>
          <c:showBubbleSize val="0"/>
        </c:dLbls>
        <c:gapWidth val="20"/>
        <c:overlap val="100"/>
        <c:axId val="100782080"/>
        <c:axId val="100783616"/>
      </c:barChart>
      <c:catAx>
        <c:axId val="100782080"/>
        <c:scaling>
          <c:orientation val="minMax"/>
        </c:scaling>
        <c:delete val="1"/>
        <c:axPos val="l"/>
        <c:majorTickMark val="out"/>
        <c:minorTickMark val="none"/>
        <c:tickLblPos val="none"/>
        <c:crossAx val="100783616"/>
        <c:crosses val="autoZero"/>
        <c:auto val="1"/>
        <c:lblAlgn val="ctr"/>
        <c:lblOffset val="100"/>
        <c:noMultiLvlLbl val="0"/>
      </c:catAx>
      <c:valAx>
        <c:axId val="100783616"/>
        <c:scaling>
          <c:orientation val="minMax"/>
          <c:max val="3"/>
        </c:scaling>
        <c:delete val="0"/>
        <c:axPos val="b"/>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omic Sans MS"/>
                <a:ea typeface="Comic Sans MS"/>
                <a:cs typeface="Comic Sans MS"/>
              </a:defRPr>
            </a:pPr>
            <a:endParaRPr lang="es-ES"/>
          </a:p>
        </c:txPr>
        <c:crossAx val="100782080"/>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325" b="0" i="0" u="none" strike="noStrike" baseline="0">
          <a:solidFill>
            <a:srgbClr val="000000"/>
          </a:solidFill>
          <a:latin typeface="Comic Sans MS"/>
          <a:ea typeface="Comic Sans MS"/>
          <a:cs typeface="Comic Sans MS"/>
        </a:defRPr>
      </a:pPr>
      <a:endParaRPr lang="es-ES"/>
    </a:p>
  </c:txPr>
  <c:printSettings>
    <c:headerFooter alignWithMargins="0"/>
    <c:pageMargins b="1" l="0.75000000000000011" r="0.75000000000000011"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748502994012"/>
          <c:y val="7.4074743876083995E-2"/>
          <c:w val="0.67664670658682624"/>
          <c:h val="0.44444846325650406"/>
        </c:manualLayout>
      </c:layout>
      <c:barChart>
        <c:barDir val="bar"/>
        <c:grouping val="clustered"/>
        <c:varyColors val="0"/>
        <c:ser>
          <c:idx val="0"/>
          <c:order val="0"/>
          <c:tx>
            <c:v>ACS</c:v>
          </c:tx>
          <c:spPr>
            <a:gradFill rotWithShape="0">
              <a:gsLst>
                <a:gs pos="0">
                  <a:srgbClr val="FF0000"/>
                </a:gs>
                <a:gs pos="100000">
                  <a:srgbClr val="339966"/>
                </a:gs>
              </a:gsLst>
              <a:lin ang="0" scaled="1"/>
            </a:gradFill>
            <a:ln w="12700">
              <a:solidFill>
                <a:srgbClr val="000000"/>
              </a:solidFill>
              <a:prstDash val="solid"/>
            </a:ln>
          </c:spPr>
          <c:invertIfNegative val="0"/>
          <c:val>
            <c:numRef>
              <c:f>CE_Chile!#REF!</c:f>
              <c:numCache>
                <c:formatCode>General</c:formatCode>
                <c:ptCount val="1"/>
                <c:pt idx="0">
                  <c:v>1</c:v>
                </c:pt>
              </c:numCache>
            </c:numRef>
          </c:val>
        </c:ser>
        <c:ser>
          <c:idx val="1"/>
          <c:order val="1"/>
          <c:tx>
            <c:v>Iluminación</c:v>
          </c:tx>
          <c:spPr>
            <a:gradFill rotWithShape="0">
              <a:gsLst>
                <a:gs pos="0">
                  <a:srgbClr val="FF0000"/>
                </a:gs>
                <a:gs pos="100000">
                  <a:srgbClr val="339966"/>
                </a:gs>
              </a:gsLst>
              <a:lin ang="0" scaled="1"/>
            </a:gradFill>
            <a:ln w="12700">
              <a:solidFill>
                <a:srgbClr val="000000"/>
              </a:solidFill>
              <a:prstDash val="solid"/>
            </a:ln>
          </c:spPr>
          <c:invertIfNegative val="0"/>
          <c:val>
            <c:numRef>
              <c:f>CE_Chile!#REF!</c:f>
              <c:numCache>
                <c:formatCode>General</c:formatCode>
                <c:ptCount val="1"/>
                <c:pt idx="0">
                  <c:v>1</c:v>
                </c:pt>
              </c:numCache>
            </c:numRef>
          </c:val>
        </c:ser>
        <c:ser>
          <c:idx val="2"/>
          <c:order val="2"/>
          <c:tx>
            <c:v>Calefacción</c:v>
          </c:tx>
          <c:spPr>
            <a:gradFill rotWithShape="0">
              <a:gsLst>
                <a:gs pos="0">
                  <a:srgbClr val="FF0000"/>
                </a:gs>
                <a:gs pos="100000">
                  <a:srgbClr val="339966"/>
                </a:gs>
              </a:gsLst>
              <a:lin ang="0" scaled="1"/>
            </a:gradFill>
            <a:ln w="12700">
              <a:solidFill>
                <a:srgbClr val="000000"/>
              </a:solidFill>
              <a:prstDash val="solid"/>
            </a:ln>
          </c:spPr>
          <c:invertIfNegative val="0"/>
          <c:val>
            <c:numRef>
              <c:f>CE_Chile!#REF!</c:f>
              <c:numCache>
                <c:formatCode>General</c:formatCode>
                <c:ptCount val="1"/>
                <c:pt idx="0">
                  <c:v>1</c:v>
                </c:pt>
              </c:numCache>
            </c:numRef>
          </c:val>
        </c:ser>
        <c:dLbls>
          <c:showLegendKey val="0"/>
          <c:showVal val="0"/>
          <c:showCatName val="0"/>
          <c:showSerName val="0"/>
          <c:showPercent val="0"/>
          <c:showBubbleSize val="0"/>
        </c:dLbls>
        <c:gapWidth val="20"/>
        <c:overlap val="-30"/>
        <c:axId val="105265408"/>
        <c:axId val="105267200"/>
      </c:barChart>
      <c:catAx>
        <c:axId val="105265408"/>
        <c:scaling>
          <c:orientation val="minMax"/>
        </c:scaling>
        <c:delete val="1"/>
        <c:axPos val="l"/>
        <c:majorTickMark val="out"/>
        <c:minorTickMark val="none"/>
        <c:tickLblPos val="none"/>
        <c:crossAx val="105267200"/>
        <c:crosses val="autoZero"/>
        <c:auto val="1"/>
        <c:lblAlgn val="ctr"/>
        <c:lblOffset val="100"/>
        <c:noMultiLvlLbl val="0"/>
      </c:catAx>
      <c:valAx>
        <c:axId val="105267200"/>
        <c:scaling>
          <c:orientation val="minMax"/>
          <c:max val="100"/>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omic Sans MS"/>
                <a:ea typeface="Comic Sans MS"/>
                <a:cs typeface="Comic Sans MS"/>
              </a:defRPr>
            </a:pPr>
            <a:endParaRPr lang="es-ES"/>
          </a:p>
        </c:txPr>
        <c:crossAx val="105265408"/>
        <c:crosses val="autoZero"/>
        <c:crossBetween val="between"/>
      </c:valAx>
      <c:spPr>
        <a:noFill/>
        <a:ln w="25400">
          <a:noFill/>
        </a:ln>
      </c:spPr>
    </c:plotArea>
    <c:plotVisOnly val="1"/>
    <c:dispBlanksAs val="gap"/>
    <c:showDLblsOverMax val="0"/>
  </c:chart>
  <c:spPr>
    <a:noFill/>
    <a:ln w="9525">
      <a:noFill/>
    </a:ln>
  </c:spPr>
  <c:txPr>
    <a:bodyPr/>
    <a:lstStyle/>
    <a:p>
      <a:pPr>
        <a:defRPr sz="350" b="0" i="0" u="none" strike="noStrike" baseline="0">
          <a:solidFill>
            <a:srgbClr val="000000"/>
          </a:solidFill>
          <a:latin typeface="Comic Sans MS"/>
          <a:ea typeface="Comic Sans MS"/>
          <a:cs typeface="Comic Sans MS"/>
        </a:defRPr>
      </a:pPr>
      <a:endParaRPr lang="es-ES"/>
    </a:p>
  </c:txPr>
  <c:printSettings>
    <c:headerFooter alignWithMargins="0"/>
    <c:pageMargins b="1" l="0.75000000000000011" r="0.75000000000000011" t="1" header="0" footer="0"/>
    <c:pageSetup/>
  </c:printSettings>
</c:chartSpace>
</file>

<file path=xl/ctrlProps/ctrlProp1.xml><?xml version="1.0" encoding="utf-8"?>
<formControlPr xmlns="http://schemas.microsoft.com/office/spreadsheetml/2009/9/main" objectType="Drop" dropLines="85" dropStyle="combo" dx="16" fmlaLink="'R1'!$R$2" fmlaRange="'R1'!$A$2:$A$15" sel="5" val="0"/>
</file>

<file path=xl/ctrlProps/ctrlProp10.xml><?xml version="1.0" encoding="utf-8"?>
<formControlPr xmlns="http://schemas.microsoft.com/office/spreadsheetml/2009/9/main" objectType="Drop" dropLines="85" dropStyle="combo" dx="16" fmlaLink="'R1'!$D$152" fmlaRange="'R1'!$A$152:$A$156" noThreeD="1" sel="3" val="0"/>
</file>

<file path=xl/ctrlProps/ctrlProp11.xml><?xml version="1.0" encoding="utf-8"?>
<formControlPr xmlns="http://schemas.microsoft.com/office/spreadsheetml/2009/9/main" objectType="Drop" dropLines="59" dropStyle="combo" dx="16" fmlaLink="'R1'!$D$153" fmlaRange="'R1'!$A$152:$A$156" noThreeD="1" val="0"/>
</file>

<file path=xl/ctrlProps/ctrlProp12.xml><?xml version="1.0" encoding="utf-8"?>
<formControlPr xmlns="http://schemas.microsoft.com/office/spreadsheetml/2009/9/main" objectType="Drop" dropLines="85" dropStyle="combo" dx="16" fmlaLink="'R1'!$D$154" fmlaRange="'R1'!$A$152:$A$156" noThreeD="1" sel="3" val="0"/>
</file>

<file path=xl/ctrlProps/ctrlProp13.xml><?xml version="1.0" encoding="utf-8"?>
<formControlPr xmlns="http://schemas.microsoft.com/office/spreadsheetml/2009/9/main" objectType="Drop" dropLines="59" dropStyle="combo" dx="16" fmlaLink="'R1'!$D$155" fmlaRange="'R1'!$A$152:$A$156" noThreeD="1" val="0"/>
</file>

<file path=xl/ctrlProps/ctrlProp14.xml><?xml version="1.0" encoding="utf-8"?>
<formControlPr xmlns="http://schemas.microsoft.com/office/spreadsheetml/2009/9/main" objectType="Drop" dropLines="5" dropStyle="combo" dx="16" fmlaLink="'R1'!$D$156" fmlaRange="'R1'!$A$152:$A$156" noThreeD="1" sel="3" val="0"/>
</file>

<file path=xl/ctrlProps/ctrlProp15.xml><?xml version="1.0" encoding="utf-8"?>
<formControlPr xmlns="http://schemas.microsoft.com/office/spreadsheetml/2009/9/main" objectType="Drop" dropLines="59" dropStyle="combo" dx="16" fmlaLink="'R1'!$D$157" fmlaRange="'R1'!$A$152:$A$156" noThreeD="1" val="0"/>
</file>

<file path=xl/ctrlProps/ctrlProp16.xml><?xml version="1.0" encoding="utf-8"?>
<formControlPr xmlns="http://schemas.microsoft.com/office/spreadsheetml/2009/9/main" objectType="Drop" dropLines="85" dropStyle="combo" dx="16" fmlaLink="'R2'!$C$4" fmlaRange="'R2'!$A$4:$A$22" noThreeD="1" val="0"/>
</file>

<file path=xl/ctrlProps/ctrlProp17.xml><?xml version="1.0" encoding="utf-8"?>
<formControlPr xmlns="http://schemas.microsoft.com/office/spreadsheetml/2009/9/main" objectType="Drop" dropLines="85" dropStyle="combo" dx="16" fmlaLink="'R2'!$C$25" fmlaRange="'R2'!$A$25:$A$28" noThreeD="1" sel="4" val="0"/>
</file>

<file path=xl/ctrlProps/ctrlProp18.xml><?xml version="1.0" encoding="utf-8"?>
<formControlPr xmlns="http://schemas.microsoft.com/office/spreadsheetml/2009/9/main" objectType="Drop" dropLines="85" dropStyle="combo" dx="16" fmlaLink="'R2'!$C$31" fmlaRange="'R2'!$A$31:$A$33" noThreeD="1" sel="3" val="0"/>
</file>

<file path=xl/ctrlProps/ctrlProp19.xml><?xml version="1.0" encoding="utf-8"?>
<formControlPr xmlns="http://schemas.microsoft.com/office/spreadsheetml/2009/9/main" objectType="Drop" dropLines="85" dropStyle="combo" dx="16" fmlaLink="'R2'!$C$35" fmlaRange="'R2'!$A$35:$A$43" noThreeD="1" sel="4" val="0"/>
</file>

<file path=xl/ctrlProps/ctrlProp2.xml><?xml version="1.0" encoding="utf-8"?>
<formControlPr xmlns="http://schemas.microsoft.com/office/spreadsheetml/2009/9/main" objectType="Drop" dropLines="59" dropStyle="combo" dx="16" fmlaLink="'R4'!$E$3" fmlaRange="'R4'!$A$3:$A$5" noThreeD="1" sel="2" val="0"/>
</file>

<file path=xl/ctrlProps/ctrlProp20.xml><?xml version="1.0" encoding="utf-8"?>
<formControlPr xmlns="http://schemas.microsoft.com/office/spreadsheetml/2009/9/main" objectType="Drop" dropLines="85" dropStyle="combo" dx="16" fmlaLink="'R2'!$C$48" fmlaRange="'R2'!$A$48:$A$56" noThreeD="1" sel="4" val="0"/>
</file>

<file path=xl/ctrlProps/ctrlProp21.xml><?xml version="1.0" encoding="utf-8"?>
<formControlPr xmlns="http://schemas.microsoft.com/office/spreadsheetml/2009/9/main" objectType="Drop" dropLines="85" dropStyle="combo" dx="16" fmlaLink="'R2'!$C$60" fmlaRange="'R2'!$A$60:$A$68" noThreeD="1" sel="2" val="0"/>
</file>

<file path=xl/ctrlProps/ctrlProp22.xml><?xml version="1.0" encoding="utf-8"?>
<formControlPr xmlns="http://schemas.microsoft.com/office/spreadsheetml/2009/9/main" objectType="Drop" dropLines="59" dropStyle="combo" dx="16" fmlaLink="'R2'!$C$71" fmlaRange="'R2'!$A$71:$A$73" noThreeD="1" sel="2" val="0"/>
</file>

<file path=xl/ctrlProps/ctrlProp23.xml><?xml version="1.0" encoding="utf-8"?>
<formControlPr xmlns="http://schemas.microsoft.com/office/spreadsheetml/2009/9/main" objectType="Drop" dropLines="7" dropStyle="combo" dx="16" fmlaLink="'R2'!$C$48" fmlaRange="'R2'!$A$48:$A$56" noThreeD="1" sel="4" val="0"/>
</file>

<file path=xl/ctrlProps/ctrlProp3.xml><?xml version="1.0" encoding="utf-8"?>
<formControlPr xmlns="http://schemas.microsoft.com/office/spreadsheetml/2009/9/main" objectType="Drop" dropLines="2" dropStyle="combo" dx="16" fmlaLink="'R4'!$D$61" fmlaRange="'R4'!$A$61:$A$62" noThreeD="1" val="0"/>
</file>

<file path=xl/ctrlProps/ctrlProp4.xml><?xml version="1.0" encoding="utf-8"?>
<formControlPr xmlns="http://schemas.microsoft.com/office/spreadsheetml/2009/9/main" objectType="Drop" dropLines="59" dropStyle="combo" dx="16" fmlaLink="'R1'!$B$102" fmlaRange="'R1'!$A$102:$A$103" sel="2" val="0"/>
</file>

<file path=xl/ctrlProps/ctrlProp5.xml><?xml version="1.0" encoding="utf-8"?>
<formControlPr xmlns="http://schemas.microsoft.com/office/spreadsheetml/2009/9/main" objectType="Drop" dropLines="59" dropStyle="combo" dx="16" fmlaLink="'R1'!$B$116" fmlaRange="'R1'!$A$116:$A$118" noThreeD="1" val="0"/>
</file>

<file path=xl/ctrlProps/ctrlProp6.xml><?xml version="1.0" encoding="utf-8"?>
<formControlPr xmlns="http://schemas.microsoft.com/office/spreadsheetml/2009/9/main" objectType="Drop" dropLines="2" dropStyle="combo" dx="16" fmlaLink="'R1'!$D$136" fmlaRange="'R1'!$A$136:$A$137" val="0"/>
</file>

<file path=xl/ctrlProps/ctrlProp7.xml><?xml version="1.0" encoding="utf-8"?>
<formControlPr xmlns="http://schemas.microsoft.com/office/spreadsheetml/2009/9/main" objectType="Drop" dropLines="85" dropStyle="combo" dx="16" fmlaLink="'R1'!$D$141" fmlaRange="'R1'!$A$141:$A$142" val="0"/>
</file>

<file path=xl/ctrlProps/ctrlProp8.xml><?xml version="1.0" encoding="utf-8"?>
<formControlPr xmlns="http://schemas.microsoft.com/office/spreadsheetml/2009/9/main" objectType="Drop" dropLines="2" dropStyle="combo" dx="16" fmlaLink="'R1'!$D$145" fmlaRange="'R1'!$A$145:$A$146" val="0"/>
</file>

<file path=xl/ctrlProps/ctrlProp9.xml><?xml version="1.0" encoding="utf-8"?>
<formControlPr xmlns="http://schemas.microsoft.com/office/spreadsheetml/2009/9/main" objectType="Drop" dropLines="85" dropStyle="combo" dx="16" fmlaLink="'R6'!$P$2" fmlaRange="'R6'!$A$3:$A$347" sel="110" val="84"/>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8" Type="http://schemas.openxmlformats.org/officeDocument/2006/relationships/image" Target="../media/image16.png"/><Relationship Id="rId3" Type="http://schemas.openxmlformats.org/officeDocument/2006/relationships/image" Target="../media/image11.emf"/><Relationship Id="rId7" Type="http://schemas.openxmlformats.org/officeDocument/2006/relationships/image" Target="../media/image15.png"/><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png"/><Relationship Id="rId9" Type="http://schemas.openxmlformats.org/officeDocument/2006/relationships/image" Target="../media/image17.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33</xdr:col>
      <xdr:colOff>514350</xdr:colOff>
      <xdr:row>26</xdr:row>
      <xdr:rowOff>66675</xdr:rowOff>
    </xdr:from>
    <xdr:to>
      <xdr:col>33</xdr:col>
      <xdr:colOff>695325</xdr:colOff>
      <xdr:row>28</xdr:row>
      <xdr:rowOff>9525</xdr:rowOff>
    </xdr:to>
    <xdr:sp macro="" textlink="">
      <xdr:nvSpPr>
        <xdr:cNvPr id="19042" name="Freeform 4"/>
        <xdr:cNvSpPr>
          <a:spLocks noChangeAspect="1"/>
        </xdr:cNvSpPr>
      </xdr:nvSpPr>
      <xdr:spPr bwMode="auto">
        <a:xfrm rot="5400000" flipH="1">
          <a:off x="8234363" y="5367337"/>
          <a:ext cx="266700" cy="180975"/>
        </a:xfrm>
        <a:custGeom>
          <a:avLst/>
          <a:gdLst>
            <a:gd name="T0" fmla="*/ 0 w 44"/>
            <a:gd name="T1" fmla="*/ 2147483647 h 46"/>
            <a:gd name="T2" fmla="*/ 0 w 44"/>
            <a:gd name="T3" fmla="*/ 0 h 46"/>
            <a:gd name="T4" fmla="*/ 2147483647 w 44"/>
            <a:gd name="T5" fmla="*/ 0 h 46"/>
            <a:gd name="T6" fmla="*/ 2147483647 w 44"/>
            <a:gd name="T7" fmla="*/ 2147483647 h 46"/>
            <a:gd name="T8" fmla="*/ 2147483647 w 44"/>
            <a:gd name="T9" fmla="*/ 2147483647 h 46"/>
            <a:gd name="T10" fmla="*/ 2147483647 w 44"/>
            <a:gd name="T11" fmla="*/ 2147483647 h 46"/>
            <a:gd name="T12" fmla="*/ 2147483647 w 44"/>
            <a:gd name="T13" fmla="*/ 2147483647 h 46"/>
            <a:gd name="T14" fmla="*/ 2147483647 w 44"/>
            <a:gd name="T15" fmla="*/ 2147483647 h 46"/>
            <a:gd name="T16" fmla="*/ 2147483647 w 44"/>
            <a:gd name="T17" fmla="*/ 2147483647 h 46"/>
            <a:gd name="T18" fmla="*/ 2147483647 w 44"/>
            <a:gd name="T19" fmla="*/ 2147483647 h 4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4"/>
            <a:gd name="T31" fmla="*/ 0 h 46"/>
            <a:gd name="T32" fmla="*/ 44 w 44"/>
            <a:gd name="T33" fmla="*/ 46 h 4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4" h="46">
              <a:moveTo>
                <a:pt x="0" y="45"/>
              </a:moveTo>
              <a:lnTo>
                <a:pt x="0" y="0"/>
              </a:lnTo>
              <a:lnTo>
                <a:pt x="44" y="0"/>
              </a:lnTo>
              <a:lnTo>
                <a:pt x="43" y="6"/>
              </a:lnTo>
              <a:lnTo>
                <a:pt x="29" y="8"/>
              </a:lnTo>
              <a:lnTo>
                <a:pt x="17" y="15"/>
              </a:lnTo>
              <a:lnTo>
                <a:pt x="11" y="22"/>
              </a:lnTo>
              <a:lnTo>
                <a:pt x="6" y="32"/>
              </a:lnTo>
              <a:lnTo>
                <a:pt x="5" y="39"/>
              </a:lnTo>
              <a:lnTo>
                <a:pt x="4" y="46"/>
              </a:lnTo>
            </a:path>
          </a:pathLst>
        </a:custGeom>
        <a:solidFill>
          <a:srgbClr val="FFFFFF"/>
        </a:solidFill>
        <a:ln>
          <a:noFill/>
        </a:ln>
        <a:extLst>
          <a:ext uri="{91240B29-F687-4F45-9708-019B960494DF}">
            <a14:hiddenLine xmlns:a14="http://schemas.microsoft.com/office/drawing/2010/main" w="9525" cap="flat" cmpd="sng">
              <a:solidFill>
                <a:srgbClr val="000000"/>
              </a:solidFill>
              <a:prstDash val="solid"/>
              <a:round/>
              <a:headEnd type="none" w="med" len="med"/>
              <a:tailEnd type="none" w="med" len="med"/>
            </a14:hiddenLine>
          </a:ext>
        </a:extLst>
      </xdr:spPr>
    </xdr:sp>
    <xdr:clientData/>
  </xdr:twoCellAnchor>
  <xdr:twoCellAnchor>
    <xdr:from>
      <xdr:col>0</xdr:col>
      <xdr:colOff>180975</xdr:colOff>
      <xdr:row>26</xdr:row>
      <xdr:rowOff>142875</xdr:rowOff>
    </xdr:from>
    <xdr:to>
      <xdr:col>1</xdr:col>
      <xdr:colOff>209550</xdr:colOff>
      <xdr:row>28</xdr:row>
      <xdr:rowOff>9525</xdr:rowOff>
    </xdr:to>
    <xdr:sp macro="" textlink="">
      <xdr:nvSpPr>
        <xdr:cNvPr id="19043" name="Freeform 5"/>
        <xdr:cNvSpPr>
          <a:spLocks noChangeAspect="1"/>
        </xdr:cNvSpPr>
      </xdr:nvSpPr>
      <xdr:spPr bwMode="auto">
        <a:xfrm rot="10800000" flipH="1">
          <a:off x="180975" y="5400675"/>
          <a:ext cx="238125" cy="190500"/>
        </a:xfrm>
        <a:custGeom>
          <a:avLst/>
          <a:gdLst>
            <a:gd name="T0" fmla="*/ 0 w 44"/>
            <a:gd name="T1" fmla="*/ 2147483647 h 46"/>
            <a:gd name="T2" fmla="*/ 0 w 44"/>
            <a:gd name="T3" fmla="*/ 0 h 46"/>
            <a:gd name="T4" fmla="*/ 2147483647 w 44"/>
            <a:gd name="T5" fmla="*/ 0 h 46"/>
            <a:gd name="T6" fmla="*/ 2147483647 w 44"/>
            <a:gd name="T7" fmla="*/ 2147483647 h 46"/>
            <a:gd name="T8" fmla="*/ 2147483647 w 44"/>
            <a:gd name="T9" fmla="*/ 2147483647 h 46"/>
            <a:gd name="T10" fmla="*/ 2147483647 w 44"/>
            <a:gd name="T11" fmla="*/ 2147483647 h 46"/>
            <a:gd name="T12" fmla="*/ 2147483647 w 44"/>
            <a:gd name="T13" fmla="*/ 2147483647 h 46"/>
            <a:gd name="T14" fmla="*/ 2147483647 w 44"/>
            <a:gd name="T15" fmla="*/ 2147483647 h 46"/>
            <a:gd name="T16" fmla="*/ 2147483647 w 44"/>
            <a:gd name="T17" fmla="*/ 2147483647 h 46"/>
            <a:gd name="T18" fmla="*/ 2147483647 w 44"/>
            <a:gd name="T19" fmla="*/ 2147483647 h 4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4"/>
            <a:gd name="T31" fmla="*/ 0 h 46"/>
            <a:gd name="T32" fmla="*/ 44 w 44"/>
            <a:gd name="T33" fmla="*/ 46 h 4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4" h="46">
              <a:moveTo>
                <a:pt x="0" y="45"/>
              </a:moveTo>
              <a:lnTo>
                <a:pt x="0" y="0"/>
              </a:lnTo>
              <a:lnTo>
                <a:pt x="44" y="0"/>
              </a:lnTo>
              <a:lnTo>
                <a:pt x="43" y="6"/>
              </a:lnTo>
              <a:lnTo>
                <a:pt x="29" y="8"/>
              </a:lnTo>
              <a:lnTo>
                <a:pt x="17" y="15"/>
              </a:lnTo>
              <a:lnTo>
                <a:pt x="11" y="22"/>
              </a:lnTo>
              <a:lnTo>
                <a:pt x="6" y="32"/>
              </a:lnTo>
              <a:lnTo>
                <a:pt x="5" y="39"/>
              </a:lnTo>
              <a:lnTo>
                <a:pt x="4" y="46"/>
              </a:lnTo>
            </a:path>
          </a:pathLst>
        </a:custGeom>
        <a:solidFill>
          <a:srgbClr val="FFFFFF"/>
        </a:solidFill>
        <a:ln>
          <a:noFill/>
        </a:ln>
        <a:extLst>
          <a:ext uri="{91240B29-F687-4F45-9708-019B960494DF}">
            <a14:hiddenLine xmlns:a14="http://schemas.microsoft.com/office/drawing/2010/main" w="9525" cap="flat" cmpd="sng">
              <a:solidFill>
                <a:srgbClr val="000000"/>
              </a:solidFill>
              <a:prstDash val="solid"/>
              <a:round/>
              <a:headEnd type="none" w="med" len="med"/>
              <a:tailEnd type="none" w="med" len="med"/>
            </a14:hiddenLine>
          </a:ext>
        </a:extLst>
      </xdr:spPr>
    </xdr:sp>
    <xdr:clientData/>
  </xdr:twoCellAnchor>
  <xdr:twoCellAnchor>
    <xdr:from>
      <xdr:col>33</xdr:col>
      <xdr:colOff>571500</xdr:colOff>
      <xdr:row>0</xdr:row>
      <xdr:rowOff>85725</xdr:rowOff>
    </xdr:from>
    <xdr:to>
      <xdr:col>33</xdr:col>
      <xdr:colOff>733425</xdr:colOff>
      <xdr:row>2</xdr:row>
      <xdr:rowOff>28575</xdr:rowOff>
    </xdr:to>
    <xdr:sp macro="" textlink="">
      <xdr:nvSpPr>
        <xdr:cNvPr id="19044" name="Freeform 6"/>
        <xdr:cNvSpPr>
          <a:spLocks noChangeAspect="1"/>
        </xdr:cNvSpPr>
      </xdr:nvSpPr>
      <xdr:spPr bwMode="auto">
        <a:xfrm flipH="1">
          <a:off x="8334375" y="85725"/>
          <a:ext cx="161925" cy="209550"/>
        </a:xfrm>
        <a:custGeom>
          <a:avLst/>
          <a:gdLst>
            <a:gd name="T0" fmla="*/ 0 w 44"/>
            <a:gd name="T1" fmla="*/ 2147483647 h 46"/>
            <a:gd name="T2" fmla="*/ 0 w 44"/>
            <a:gd name="T3" fmla="*/ 0 h 46"/>
            <a:gd name="T4" fmla="*/ 2147483647 w 44"/>
            <a:gd name="T5" fmla="*/ 0 h 46"/>
            <a:gd name="T6" fmla="*/ 2147483647 w 44"/>
            <a:gd name="T7" fmla="*/ 2147483647 h 46"/>
            <a:gd name="T8" fmla="*/ 2147483647 w 44"/>
            <a:gd name="T9" fmla="*/ 2147483647 h 46"/>
            <a:gd name="T10" fmla="*/ 2147483647 w 44"/>
            <a:gd name="T11" fmla="*/ 2147483647 h 46"/>
            <a:gd name="T12" fmla="*/ 2147483647 w 44"/>
            <a:gd name="T13" fmla="*/ 2147483647 h 46"/>
            <a:gd name="T14" fmla="*/ 2147483647 w 44"/>
            <a:gd name="T15" fmla="*/ 2147483647 h 46"/>
            <a:gd name="T16" fmla="*/ 2147483647 w 44"/>
            <a:gd name="T17" fmla="*/ 2147483647 h 46"/>
            <a:gd name="T18" fmla="*/ 2147483647 w 44"/>
            <a:gd name="T19" fmla="*/ 2147483647 h 4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4"/>
            <a:gd name="T31" fmla="*/ 0 h 46"/>
            <a:gd name="T32" fmla="*/ 44 w 44"/>
            <a:gd name="T33" fmla="*/ 46 h 4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4" h="46">
              <a:moveTo>
                <a:pt x="0" y="45"/>
              </a:moveTo>
              <a:lnTo>
                <a:pt x="0" y="0"/>
              </a:lnTo>
              <a:lnTo>
                <a:pt x="44" y="0"/>
              </a:lnTo>
              <a:lnTo>
                <a:pt x="43" y="6"/>
              </a:lnTo>
              <a:lnTo>
                <a:pt x="29" y="8"/>
              </a:lnTo>
              <a:lnTo>
                <a:pt x="17" y="15"/>
              </a:lnTo>
              <a:lnTo>
                <a:pt x="11" y="22"/>
              </a:lnTo>
              <a:lnTo>
                <a:pt x="6" y="32"/>
              </a:lnTo>
              <a:lnTo>
                <a:pt x="5" y="39"/>
              </a:lnTo>
              <a:lnTo>
                <a:pt x="4" y="46"/>
              </a:lnTo>
            </a:path>
          </a:pathLst>
        </a:custGeom>
        <a:solidFill>
          <a:srgbClr val="FFFFFF"/>
        </a:solidFill>
        <a:ln>
          <a:noFill/>
        </a:ln>
        <a:extLst>
          <a:ext uri="{91240B29-F687-4F45-9708-019B960494DF}">
            <a14:hiddenLine xmlns:a14="http://schemas.microsoft.com/office/drawing/2010/main" w="9525" cap="flat" cmpd="sng">
              <a:solidFill>
                <a:srgbClr val="000000"/>
              </a:solidFill>
              <a:prstDash val="solid"/>
              <a:round/>
              <a:headEnd type="none" w="med" len="med"/>
              <a:tailEnd type="none" w="med" len="med"/>
            </a14:hiddenLine>
          </a:ext>
        </a:extLst>
      </xdr:spPr>
    </xdr:sp>
    <xdr:clientData/>
  </xdr:twoCellAnchor>
  <xdr:twoCellAnchor>
    <xdr:from>
      <xdr:col>0</xdr:col>
      <xdr:colOff>171450</xdr:colOff>
      <xdr:row>0</xdr:row>
      <xdr:rowOff>76200</xdr:rowOff>
    </xdr:from>
    <xdr:to>
      <xdr:col>1</xdr:col>
      <xdr:colOff>142875</xdr:colOff>
      <xdr:row>2</xdr:row>
      <xdr:rowOff>19050</xdr:rowOff>
    </xdr:to>
    <xdr:sp macro="" textlink="">
      <xdr:nvSpPr>
        <xdr:cNvPr id="19045" name="Freeform 7"/>
        <xdr:cNvSpPr>
          <a:spLocks noChangeAspect="1"/>
        </xdr:cNvSpPr>
      </xdr:nvSpPr>
      <xdr:spPr bwMode="auto">
        <a:xfrm>
          <a:off x="171450" y="76200"/>
          <a:ext cx="180975" cy="209550"/>
        </a:xfrm>
        <a:custGeom>
          <a:avLst/>
          <a:gdLst>
            <a:gd name="T0" fmla="*/ 0 w 44"/>
            <a:gd name="T1" fmla="*/ 2147483647 h 46"/>
            <a:gd name="T2" fmla="*/ 0 w 44"/>
            <a:gd name="T3" fmla="*/ 0 h 46"/>
            <a:gd name="T4" fmla="*/ 2147483647 w 44"/>
            <a:gd name="T5" fmla="*/ 0 h 46"/>
            <a:gd name="T6" fmla="*/ 2147483647 w 44"/>
            <a:gd name="T7" fmla="*/ 2147483647 h 46"/>
            <a:gd name="T8" fmla="*/ 2147483647 w 44"/>
            <a:gd name="T9" fmla="*/ 2147483647 h 46"/>
            <a:gd name="T10" fmla="*/ 2147483647 w 44"/>
            <a:gd name="T11" fmla="*/ 2147483647 h 46"/>
            <a:gd name="T12" fmla="*/ 2147483647 w 44"/>
            <a:gd name="T13" fmla="*/ 2147483647 h 46"/>
            <a:gd name="T14" fmla="*/ 2147483647 w 44"/>
            <a:gd name="T15" fmla="*/ 2147483647 h 46"/>
            <a:gd name="T16" fmla="*/ 2147483647 w 44"/>
            <a:gd name="T17" fmla="*/ 2147483647 h 46"/>
            <a:gd name="T18" fmla="*/ 2147483647 w 44"/>
            <a:gd name="T19" fmla="*/ 2147483647 h 4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4"/>
            <a:gd name="T31" fmla="*/ 0 h 46"/>
            <a:gd name="T32" fmla="*/ 44 w 44"/>
            <a:gd name="T33" fmla="*/ 46 h 4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4" h="46">
              <a:moveTo>
                <a:pt x="0" y="45"/>
              </a:moveTo>
              <a:lnTo>
                <a:pt x="0" y="0"/>
              </a:lnTo>
              <a:lnTo>
                <a:pt x="44" y="0"/>
              </a:lnTo>
              <a:lnTo>
                <a:pt x="43" y="6"/>
              </a:lnTo>
              <a:lnTo>
                <a:pt x="29" y="8"/>
              </a:lnTo>
              <a:lnTo>
                <a:pt x="17" y="15"/>
              </a:lnTo>
              <a:lnTo>
                <a:pt x="11" y="22"/>
              </a:lnTo>
              <a:lnTo>
                <a:pt x="6" y="32"/>
              </a:lnTo>
              <a:lnTo>
                <a:pt x="5" y="39"/>
              </a:lnTo>
              <a:lnTo>
                <a:pt x="4" y="46"/>
              </a:lnTo>
            </a:path>
          </a:pathLst>
        </a:custGeom>
        <a:solidFill>
          <a:srgbClr val="FFFFFF"/>
        </a:solidFill>
        <a:ln>
          <a:noFill/>
        </a:ln>
        <a:extLst>
          <a:ext uri="{91240B29-F687-4F45-9708-019B960494DF}">
            <a14:hiddenLine xmlns:a14="http://schemas.microsoft.com/office/drawing/2010/main" w="9525" cap="flat" cmpd="sng">
              <a:solidFill>
                <a:srgbClr val="000000"/>
              </a:solidFill>
              <a:prstDash val="solid"/>
              <a:round/>
              <a:headEnd type="none" w="med" len="med"/>
              <a:tailEnd type="none" w="med" len="med"/>
            </a14:hiddenLine>
          </a:ext>
        </a:extLst>
      </xdr:spPr>
    </xdr:sp>
    <xdr:clientData/>
  </xdr:twoCellAnchor>
  <xdr:twoCellAnchor editAs="oneCell">
    <xdr:from>
      <xdr:col>22</xdr:col>
      <xdr:colOff>66675</xdr:colOff>
      <xdr:row>12</xdr:row>
      <xdr:rowOff>133350</xdr:rowOff>
    </xdr:from>
    <xdr:to>
      <xdr:col>27</xdr:col>
      <xdr:colOff>66675</xdr:colOff>
      <xdr:row>15</xdr:row>
      <xdr:rowOff>933450</xdr:rowOff>
    </xdr:to>
    <xdr:pic>
      <xdr:nvPicPr>
        <xdr:cNvPr id="19046" name="8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6800" y="2095500"/>
          <a:ext cx="109537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133350</xdr:colOff>
      <xdr:row>12</xdr:row>
      <xdr:rowOff>123825</xdr:rowOff>
    </xdr:from>
    <xdr:to>
      <xdr:col>32</xdr:col>
      <xdr:colOff>85725</xdr:colOff>
      <xdr:row>15</xdr:row>
      <xdr:rowOff>800100</xdr:rowOff>
    </xdr:to>
    <xdr:pic>
      <xdr:nvPicPr>
        <xdr:cNvPr id="19047" name="9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38850" y="2085975"/>
          <a:ext cx="10477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85725</xdr:colOff>
      <xdr:row>6</xdr:row>
      <xdr:rowOff>19050</xdr:rowOff>
    </xdr:from>
    <xdr:to>
      <xdr:col>32</xdr:col>
      <xdr:colOff>19050</xdr:colOff>
      <xdr:row>11</xdr:row>
      <xdr:rowOff>66675</xdr:rowOff>
    </xdr:to>
    <xdr:pic>
      <xdr:nvPicPr>
        <xdr:cNvPr id="19048" name="11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95850" y="1009650"/>
          <a:ext cx="21240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0</xdr:row>
      <xdr:rowOff>9525</xdr:rowOff>
    </xdr:from>
    <xdr:to>
      <xdr:col>16</xdr:col>
      <xdr:colOff>0</xdr:colOff>
      <xdr:row>1</xdr:row>
      <xdr:rowOff>0</xdr:rowOff>
    </xdr:to>
    <xdr:grpSp>
      <xdr:nvGrpSpPr>
        <xdr:cNvPr id="12616" name="Group 33"/>
        <xdr:cNvGrpSpPr>
          <a:grpSpLocks/>
        </xdr:cNvGrpSpPr>
      </xdr:nvGrpSpPr>
      <xdr:grpSpPr bwMode="auto">
        <a:xfrm>
          <a:off x="401108" y="9525"/>
          <a:ext cx="7631642" cy="519642"/>
          <a:chOff x="25" y="3"/>
          <a:chExt cx="754" cy="84"/>
        </a:xfrm>
      </xdr:grpSpPr>
      <xdr:pic>
        <xdr:nvPicPr>
          <xdr:cNvPr id="12461" name="1 Imagen" descr="plantilla.jpg"/>
          <xdr:cNvPicPr>
            <a:picLocks noChangeAspect="1" noChangeArrowheads="1"/>
          </xdr:cNvPicPr>
        </xdr:nvPicPr>
        <xdr:blipFill>
          <a:blip xmlns:r="http://schemas.openxmlformats.org/officeDocument/2006/relationships" r:embed="rId1">
            <a:duotone>
              <a:prstClr val="black"/>
              <a:schemeClr val="tx1">
                <a:lumMod val="50000"/>
                <a:lumOff val="50000"/>
                <a:tint val="45000"/>
                <a:satMod val="400000"/>
              </a:schemeClr>
            </a:duotone>
          </a:blip>
          <a:srcRect/>
          <a:stretch>
            <a:fillRect/>
          </a:stretch>
        </xdr:blipFill>
        <xdr:spPr bwMode="auto">
          <a:xfrm>
            <a:off x="25" y="3"/>
            <a:ext cx="754" cy="84"/>
          </a:xfrm>
          <a:prstGeom prst="rect">
            <a:avLst/>
          </a:prstGeom>
          <a:noFill/>
          <a:ln w="9525">
            <a:noFill/>
            <a:miter lim="800000"/>
            <a:headEnd/>
            <a:tailEnd/>
          </a:ln>
        </xdr:spPr>
      </xdr:pic>
      <xdr:sp macro="" textlink="">
        <xdr:nvSpPr>
          <xdr:cNvPr id="12323" name="2 CuadroTexto"/>
          <xdr:cNvSpPr txBox="1">
            <a:spLocks noChangeArrowheads="1"/>
          </xdr:cNvSpPr>
        </xdr:nvSpPr>
        <xdr:spPr bwMode="auto">
          <a:xfrm>
            <a:off x="25" y="3"/>
            <a:ext cx="616" cy="78"/>
          </a:xfrm>
          <a:prstGeom prst="rect">
            <a:avLst/>
          </a:prstGeom>
          <a:noFill/>
          <a:ln w="9525">
            <a:noFill/>
            <a:miter lim="800000"/>
            <a:headEnd/>
            <a:tailEnd/>
          </a:ln>
        </xdr:spPr>
        <xdr:txBody>
          <a:bodyPr vertOverflow="clip" wrap="square" lIns="91440" tIns="45720" rIns="91440" bIns="45720" anchor="t" upright="1"/>
          <a:lstStyle/>
          <a:p>
            <a:pPr algn="l" rtl="0">
              <a:lnSpc>
                <a:spcPts val="1500"/>
              </a:lnSpc>
              <a:defRPr sz="1000"/>
            </a:pPr>
            <a:r>
              <a:rPr lang="es-AR" sz="1400" b="1" i="0" u="none" strike="noStrike" baseline="0">
                <a:solidFill>
                  <a:schemeClr val="bg1"/>
                </a:solidFill>
                <a:latin typeface="Calibri"/>
              </a:rPr>
              <a:t>CALIFICACIÓN ENERGÉTICA EN VIVIENDAS EN CHILE</a:t>
            </a:r>
          </a:p>
          <a:p>
            <a:pPr algn="l" rtl="0">
              <a:lnSpc>
                <a:spcPts val="1500"/>
              </a:lnSpc>
              <a:defRPr sz="1000"/>
            </a:pPr>
            <a:endParaRPr lang="es-AR" sz="1400" b="1" i="0" u="none" strike="noStrike" baseline="0">
              <a:solidFill>
                <a:srgbClr val="FFFFFF"/>
              </a:solidFill>
              <a:latin typeface="Calibri"/>
            </a:endParaRPr>
          </a:p>
        </xdr:txBody>
      </xdr:sp>
    </xdr:grpSp>
    <xdr:clientData/>
  </xdr:twoCellAnchor>
  <mc:AlternateContent xmlns:mc="http://schemas.openxmlformats.org/markup-compatibility/2006">
    <mc:Choice xmlns:a14="http://schemas.microsoft.com/office/drawing/2010/main" Requires="a14">
      <xdr:twoCellAnchor editAs="oneCell">
        <xdr:from>
          <xdr:col>5</xdr:col>
          <xdr:colOff>0</xdr:colOff>
          <xdr:row>7</xdr:row>
          <xdr:rowOff>47625</xdr:rowOff>
        </xdr:from>
        <xdr:to>
          <xdr:col>8</xdr:col>
          <xdr:colOff>38100</xdr:colOff>
          <xdr:row>8</xdr:row>
          <xdr:rowOff>9525</xdr:rowOff>
        </xdr:to>
        <xdr:sp macro="" textlink="">
          <xdr:nvSpPr>
            <xdr:cNvPr id="12291" name="Drop Down 3" hidden="1">
              <a:extLst>
                <a:ext uri="{63B3BB69-23CF-44E3-9099-C40C66FF867C}">
                  <a14:compatExt spid="_x0000_s122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162</xdr:row>
          <xdr:rowOff>28575</xdr:rowOff>
        </xdr:from>
        <xdr:to>
          <xdr:col>9</xdr:col>
          <xdr:colOff>238125</xdr:colOff>
          <xdr:row>163</xdr:row>
          <xdr:rowOff>0</xdr:rowOff>
        </xdr:to>
        <xdr:sp macro="" textlink="">
          <xdr:nvSpPr>
            <xdr:cNvPr id="12324" name="Drop Down 36" hidden="1">
              <a:extLst>
                <a:ext uri="{63B3BB69-23CF-44E3-9099-C40C66FF867C}">
                  <a14:compatExt spid="_x0000_s123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163</xdr:row>
          <xdr:rowOff>28575</xdr:rowOff>
        </xdr:from>
        <xdr:to>
          <xdr:col>9</xdr:col>
          <xdr:colOff>238125</xdr:colOff>
          <xdr:row>163</xdr:row>
          <xdr:rowOff>238125</xdr:rowOff>
        </xdr:to>
        <xdr:sp macro="" textlink="">
          <xdr:nvSpPr>
            <xdr:cNvPr id="12325" name="Drop Down 37" hidden="1">
              <a:extLst>
                <a:ext uri="{63B3BB69-23CF-44E3-9099-C40C66FF867C}">
                  <a14:compatExt spid="_x0000_s123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xdr:row>
          <xdr:rowOff>28575</xdr:rowOff>
        </xdr:from>
        <xdr:to>
          <xdr:col>10</xdr:col>
          <xdr:colOff>28575</xdr:colOff>
          <xdr:row>7</xdr:row>
          <xdr:rowOff>0</xdr:rowOff>
        </xdr:to>
        <xdr:sp macro="" textlink="">
          <xdr:nvSpPr>
            <xdr:cNvPr id="12329" name="Drop Down 41" hidden="1">
              <a:extLst>
                <a:ext uri="{63B3BB69-23CF-44E3-9099-C40C66FF867C}">
                  <a14:compatExt spid="_x0000_s123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38100</xdr:rowOff>
        </xdr:from>
        <xdr:to>
          <xdr:col>8</xdr:col>
          <xdr:colOff>523875</xdr:colOff>
          <xdr:row>16</xdr:row>
          <xdr:rowOff>28575</xdr:rowOff>
        </xdr:to>
        <xdr:sp macro="" textlink="">
          <xdr:nvSpPr>
            <xdr:cNvPr id="12348" name="Drop Down 60" hidden="1">
              <a:extLst>
                <a:ext uri="{63B3BB69-23CF-44E3-9099-C40C66FF867C}">
                  <a14:compatExt spid="_x0000_s123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89</xdr:row>
          <xdr:rowOff>142875</xdr:rowOff>
        </xdr:from>
        <xdr:to>
          <xdr:col>10</xdr:col>
          <xdr:colOff>257175</xdr:colOff>
          <xdr:row>91</xdr:row>
          <xdr:rowOff>9525</xdr:rowOff>
        </xdr:to>
        <xdr:sp macro="" textlink="">
          <xdr:nvSpPr>
            <xdr:cNvPr id="12469" name="Drop Down 181" hidden="1">
              <a:extLst>
                <a:ext uri="{63B3BB69-23CF-44E3-9099-C40C66FF867C}">
                  <a14:compatExt spid="_x0000_s124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158</xdr:row>
          <xdr:rowOff>114300</xdr:rowOff>
        </xdr:from>
        <xdr:to>
          <xdr:col>10</xdr:col>
          <xdr:colOff>66675</xdr:colOff>
          <xdr:row>160</xdr:row>
          <xdr:rowOff>0</xdr:rowOff>
        </xdr:to>
        <xdr:sp macro="" textlink="">
          <xdr:nvSpPr>
            <xdr:cNvPr id="12482" name="Drop Down 194" hidden="1">
              <a:extLst>
                <a:ext uri="{63B3BB69-23CF-44E3-9099-C40C66FF867C}">
                  <a14:compatExt spid="_x0000_s124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180</xdr:row>
          <xdr:rowOff>0</xdr:rowOff>
        </xdr:from>
        <xdr:to>
          <xdr:col>11</xdr:col>
          <xdr:colOff>28575</xdr:colOff>
          <xdr:row>181</xdr:row>
          <xdr:rowOff>28575</xdr:rowOff>
        </xdr:to>
        <xdr:sp macro="" textlink="">
          <xdr:nvSpPr>
            <xdr:cNvPr id="12483" name="Drop Down 195" hidden="1">
              <a:extLst>
                <a:ext uri="{63B3BB69-23CF-44E3-9099-C40C66FF867C}">
                  <a14:compatExt spid="_x0000_s124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8</xdr:col>
          <xdr:colOff>28575</xdr:colOff>
          <xdr:row>9</xdr:row>
          <xdr:rowOff>190500</xdr:rowOff>
        </xdr:to>
        <xdr:sp macro="" textlink="">
          <xdr:nvSpPr>
            <xdr:cNvPr id="12491" name="Drop Down 203" hidden="1">
              <a:extLst>
                <a:ext uri="{63B3BB69-23CF-44E3-9099-C40C66FF867C}">
                  <a14:compatExt spid="_x0000_s124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79</xdr:row>
          <xdr:rowOff>0</xdr:rowOff>
        </xdr:from>
        <xdr:to>
          <xdr:col>11</xdr:col>
          <xdr:colOff>0</xdr:colOff>
          <xdr:row>80</xdr:row>
          <xdr:rowOff>0</xdr:rowOff>
        </xdr:to>
        <xdr:sp macro="" textlink="">
          <xdr:nvSpPr>
            <xdr:cNvPr id="12514" name="Drop Down 226" hidden="1">
              <a:extLst>
                <a:ext uri="{63B3BB69-23CF-44E3-9099-C40C66FF867C}">
                  <a14:compatExt spid="_x0000_s125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80</xdr:row>
          <xdr:rowOff>0</xdr:rowOff>
        </xdr:from>
        <xdr:to>
          <xdr:col>11</xdr:col>
          <xdr:colOff>0</xdr:colOff>
          <xdr:row>81</xdr:row>
          <xdr:rowOff>0</xdr:rowOff>
        </xdr:to>
        <xdr:sp macro="" textlink="">
          <xdr:nvSpPr>
            <xdr:cNvPr id="12515" name="Drop Down 227" hidden="1">
              <a:extLst>
                <a:ext uri="{63B3BB69-23CF-44E3-9099-C40C66FF867C}">
                  <a14:compatExt spid="_x0000_s125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81</xdr:row>
          <xdr:rowOff>0</xdr:rowOff>
        </xdr:from>
        <xdr:to>
          <xdr:col>11</xdr:col>
          <xdr:colOff>0</xdr:colOff>
          <xdr:row>82</xdr:row>
          <xdr:rowOff>0</xdr:rowOff>
        </xdr:to>
        <xdr:sp macro="" textlink="">
          <xdr:nvSpPr>
            <xdr:cNvPr id="12516" name="Drop Down 228" hidden="1">
              <a:extLst>
                <a:ext uri="{63B3BB69-23CF-44E3-9099-C40C66FF867C}">
                  <a14:compatExt spid="_x0000_s125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82</xdr:row>
          <xdr:rowOff>0</xdr:rowOff>
        </xdr:from>
        <xdr:to>
          <xdr:col>11</xdr:col>
          <xdr:colOff>0</xdr:colOff>
          <xdr:row>83</xdr:row>
          <xdr:rowOff>0</xdr:rowOff>
        </xdr:to>
        <xdr:sp macro="" textlink="">
          <xdr:nvSpPr>
            <xdr:cNvPr id="12517" name="Drop Down 229" hidden="1">
              <a:extLst>
                <a:ext uri="{63B3BB69-23CF-44E3-9099-C40C66FF867C}">
                  <a14:compatExt spid="_x0000_s125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0</xdr:rowOff>
        </xdr:from>
        <xdr:to>
          <xdr:col>11</xdr:col>
          <xdr:colOff>0</xdr:colOff>
          <xdr:row>84</xdr:row>
          <xdr:rowOff>0</xdr:rowOff>
        </xdr:to>
        <xdr:sp macro="" textlink="">
          <xdr:nvSpPr>
            <xdr:cNvPr id="12518" name="Drop Down 230" hidden="1">
              <a:extLst>
                <a:ext uri="{63B3BB69-23CF-44E3-9099-C40C66FF867C}">
                  <a14:compatExt spid="_x0000_s125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84</xdr:row>
          <xdr:rowOff>0</xdr:rowOff>
        </xdr:from>
        <xdr:to>
          <xdr:col>11</xdr:col>
          <xdr:colOff>0</xdr:colOff>
          <xdr:row>85</xdr:row>
          <xdr:rowOff>0</xdr:rowOff>
        </xdr:to>
        <xdr:sp macro="" textlink="">
          <xdr:nvSpPr>
            <xdr:cNvPr id="12519" name="Drop Down 231" hidden="1">
              <a:extLst>
                <a:ext uri="{63B3BB69-23CF-44E3-9099-C40C66FF867C}">
                  <a14:compatExt spid="_x0000_s125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119</xdr:row>
          <xdr:rowOff>9525</xdr:rowOff>
        </xdr:from>
        <xdr:to>
          <xdr:col>11</xdr:col>
          <xdr:colOff>504825</xdr:colOff>
          <xdr:row>120</xdr:row>
          <xdr:rowOff>0</xdr:rowOff>
        </xdr:to>
        <xdr:sp macro="" textlink="">
          <xdr:nvSpPr>
            <xdr:cNvPr id="12292" name="Drop Down 4" hidden="1">
              <a:extLst>
                <a:ext uri="{63B3BB69-23CF-44E3-9099-C40C66FF867C}">
                  <a14:compatExt spid="_x0000_s122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122</xdr:row>
          <xdr:rowOff>9525</xdr:rowOff>
        </xdr:from>
        <xdr:to>
          <xdr:col>11</xdr:col>
          <xdr:colOff>523875</xdr:colOff>
          <xdr:row>123</xdr:row>
          <xdr:rowOff>0</xdr:rowOff>
        </xdr:to>
        <xdr:sp macro="" textlink="">
          <xdr:nvSpPr>
            <xdr:cNvPr id="12293" name="Drop Down 5" hidden="1">
              <a:extLst>
                <a:ext uri="{63B3BB69-23CF-44E3-9099-C40C66FF867C}">
                  <a14:compatExt spid="_x0000_s122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125</xdr:row>
          <xdr:rowOff>0</xdr:rowOff>
        </xdr:from>
        <xdr:to>
          <xdr:col>11</xdr:col>
          <xdr:colOff>495300</xdr:colOff>
          <xdr:row>126</xdr:row>
          <xdr:rowOff>0</xdr:rowOff>
        </xdr:to>
        <xdr:sp macro="" textlink="">
          <xdr:nvSpPr>
            <xdr:cNvPr id="12294" name="Drop Down 6" hidden="1">
              <a:extLst>
                <a:ext uri="{63B3BB69-23CF-44E3-9099-C40C66FF867C}">
                  <a14:compatExt spid="_x0000_s122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116</xdr:row>
          <xdr:rowOff>0</xdr:rowOff>
        </xdr:from>
        <xdr:to>
          <xdr:col>11</xdr:col>
          <xdr:colOff>485775</xdr:colOff>
          <xdr:row>117</xdr:row>
          <xdr:rowOff>9525</xdr:rowOff>
        </xdr:to>
        <xdr:sp macro="" textlink="">
          <xdr:nvSpPr>
            <xdr:cNvPr id="12295" name="Drop Down 7" hidden="1">
              <a:extLst>
                <a:ext uri="{63B3BB69-23CF-44E3-9099-C40C66FF867C}">
                  <a14:compatExt spid="_x0000_s122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138</xdr:row>
          <xdr:rowOff>47625</xdr:rowOff>
        </xdr:from>
        <xdr:to>
          <xdr:col>11</xdr:col>
          <xdr:colOff>504825</xdr:colOff>
          <xdr:row>139</xdr:row>
          <xdr:rowOff>0</xdr:rowOff>
        </xdr:to>
        <xdr:sp macro="" textlink="">
          <xdr:nvSpPr>
            <xdr:cNvPr id="12296" name="Drop Down 8" hidden="1">
              <a:extLst>
                <a:ext uri="{63B3BB69-23CF-44E3-9099-C40C66FF867C}">
                  <a14:compatExt spid="_x0000_s1229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141</xdr:row>
          <xdr:rowOff>0</xdr:rowOff>
        </xdr:from>
        <xdr:to>
          <xdr:col>11</xdr:col>
          <xdr:colOff>523875</xdr:colOff>
          <xdr:row>142</xdr:row>
          <xdr:rowOff>28575</xdr:rowOff>
        </xdr:to>
        <xdr:sp macro="" textlink="">
          <xdr:nvSpPr>
            <xdr:cNvPr id="12297" name="Drop Down 9" hidden="1">
              <a:extLst>
                <a:ext uri="{63B3BB69-23CF-44E3-9099-C40C66FF867C}">
                  <a14:compatExt spid="_x0000_s122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144</xdr:row>
          <xdr:rowOff>9525</xdr:rowOff>
        </xdr:from>
        <xdr:to>
          <xdr:col>11</xdr:col>
          <xdr:colOff>523875</xdr:colOff>
          <xdr:row>145</xdr:row>
          <xdr:rowOff>0</xdr:rowOff>
        </xdr:to>
        <xdr:sp macro="" textlink="">
          <xdr:nvSpPr>
            <xdr:cNvPr id="12298" name="Drop Down 10" hidden="1">
              <a:extLst>
                <a:ext uri="{63B3BB69-23CF-44E3-9099-C40C66FF867C}">
                  <a14:compatExt spid="_x0000_s12298"/>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9525</xdr:rowOff>
    </xdr:from>
    <xdr:to>
      <xdr:col>12</xdr:col>
      <xdr:colOff>0</xdr:colOff>
      <xdr:row>5</xdr:row>
      <xdr:rowOff>0</xdr:rowOff>
    </xdr:to>
    <xdr:grpSp>
      <xdr:nvGrpSpPr>
        <xdr:cNvPr id="193657" name="Group 33"/>
        <xdr:cNvGrpSpPr>
          <a:grpSpLocks/>
        </xdr:cNvGrpSpPr>
      </xdr:nvGrpSpPr>
      <xdr:grpSpPr bwMode="auto">
        <a:xfrm>
          <a:off x="161925" y="9525"/>
          <a:ext cx="7219950" cy="800100"/>
          <a:chOff x="25" y="3"/>
          <a:chExt cx="754" cy="84"/>
        </a:xfrm>
      </xdr:grpSpPr>
      <xdr:pic>
        <xdr:nvPicPr>
          <xdr:cNvPr id="12461" name="1 Imagen" descr="plantilla.jpg"/>
          <xdr:cNvPicPr>
            <a:picLocks noChangeAspect="1" noChangeArrowheads="1"/>
          </xdr:cNvPicPr>
        </xdr:nvPicPr>
        <xdr:blipFill>
          <a:blip xmlns:r="http://schemas.openxmlformats.org/officeDocument/2006/relationships" r:embed="rId1">
            <a:duotone>
              <a:prstClr val="black"/>
              <a:schemeClr val="tx1">
                <a:lumMod val="50000"/>
                <a:lumOff val="50000"/>
                <a:tint val="45000"/>
                <a:satMod val="400000"/>
              </a:schemeClr>
            </a:duotone>
          </a:blip>
          <a:srcRect/>
          <a:stretch>
            <a:fillRect/>
          </a:stretch>
        </xdr:blipFill>
        <xdr:spPr bwMode="auto">
          <a:xfrm>
            <a:off x="25" y="3"/>
            <a:ext cx="754" cy="84"/>
          </a:xfrm>
          <a:prstGeom prst="rect">
            <a:avLst/>
          </a:prstGeom>
          <a:noFill/>
          <a:ln w="9525">
            <a:noFill/>
            <a:miter lim="800000"/>
            <a:headEnd/>
            <a:tailEnd/>
          </a:ln>
        </xdr:spPr>
      </xdr:pic>
      <xdr:sp macro="" textlink="">
        <xdr:nvSpPr>
          <xdr:cNvPr id="12323" name="2 CuadroTexto"/>
          <xdr:cNvSpPr txBox="1">
            <a:spLocks noChangeArrowheads="1"/>
          </xdr:cNvSpPr>
        </xdr:nvSpPr>
        <xdr:spPr bwMode="auto">
          <a:xfrm>
            <a:off x="25" y="3"/>
            <a:ext cx="616" cy="78"/>
          </a:xfrm>
          <a:prstGeom prst="rect">
            <a:avLst/>
          </a:prstGeom>
          <a:noFill/>
          <a:ln w="9525">
            <a:noFill/>
            <a:miter lim="800000"/>
            <a:headEnd/>
            <a:tailEnd/>
          </a:ln>
        </xdr:spPr>
        <xdr:txBody>
          <a:bodyPr vertOverflow="clip" wrap="square" lIns="91440" tIns="45720" rIns="91440" bIns="45720" anchor="t" upright="1"/>
          <a:lstStyle/>
          <a:p>
            <a:pPr algn="l" rtl="0">
              <a:lnSpc>
                <a:spcPts val="1500"/>
              </a:lnSpc>
              <a:defRPr sz="1000"/>
            </a:pPr>
            <a:r>
              <a:rPr lang="en-US" sz="1400" b="1" i="0" u="none" strike="noStrike" baseline="0">
                <a:solidFill>
                  <a:schemeClr val="bg1"/>
                </a:solidFill>
                <a:latin typeface="Calibri"/>
              </a:rPr>
              <a:t>CALIFICACIÓN  ENERGÉTICA DE VIVIENDAS EN CHILE</a:t>
            </a:r>
          </a:p>
          <a:p>
            <a:pPr algn="l" rtl="0">
              <a:lnSpc>
                <a:spcPts val="1500"/>
              </a:lnSpc>
              <a:defRPr sz="1000"/>
            </a:pPr>
            <a:endParaRPr lang="en-US" sz="1400" b="1" i="0" u="none" strike="noStrike" baseline="0">
              <a:solidFill>
                <a:srgbClr val="000000"/>
              </a:solidFill>
              <a:latin typeface="Calibri"/>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9525</xdr:rowOff>
    </xdr:from>
    <xdr:to>
      <xdr:col>8</xdr:col>
      <xdr:colOff>352425</xdr:colOff>
      <xdr:row>5</xdr:row>
      <xdr:rowOff>0</xdr:rowOff>
    </xdr:to>
    <xdr:grpSp>
      <xdr:nvGrpSpPr>
        <xdr:cNvPr id="194681" name="Group 33"/>
        <xdr:cNvGrpSpPr>
          <a:grpSpLocks/>
        </xdr:cNvGrpSpPr>
      </xdr:nvGrpSpPr>
      <xdr:grpSpPr bwMode="auto">
        <a:xfrm>
          <a:off x="190500" y="9525"/>
          <a:ext cx="6477000" cy="800100"/>
          <a:chOff x="25" y="3"/>
          <a:chExt cx="754" cy="84"/>
        </a:xfrm>
      </xdr:grpSpPr>
      <xdr:pic>
        <xdr:nvPicPr>
          <xdr:cNvPr id="12461" name="1 Imagen" descr="plantilla.jpg"/>
          <xdr:cNvPicPr>
            <a:picLocks noChangeAspect="1" noChangeArrowheads="1"/>
          </xdr:cNvPicPr>
        </xdr:nvPicPr>
        <xdr:blipFill>
          <a:blip xmlns:r="http://schemas.openxmlformats.org/officeDocument/2006/relationships" r:embed="rId1">
            <a:duotone>
              <a:prstClr val="black"/>
              <a:schemeClr val="tx1">
                <a:lumMod val="50000"/>
                <a:lumOff val="50000"/>
                <a:tint val="45000"/>
                <a:satMod val="400000"/>
              </a:schemeClr>
            </a:duotone>
          </a:blip>
          <a:srcRect/>
          <a:stretch>
            <a:fillRect/>
          </a:stretch>
        </xdr:blipFill>
        <xdr:spPr bwMode="auto">
          <a:xfrm>
            <a:off x="25" y="3"/>
            <a:ext cx="754" cy="84"/>
          </a:xfrm>
          <a:prstGeom prst="rect">
            <a:avLst/>
          </a:prstGeom>
          <a:noFill/>
          <a:ln w="9525">
            <a:noFill/>
            <a:miter lim="800000"/>
            <a:headEnd/>
            <a:tailEnd/>
          </a:ln>
        </xdr:spPr>
      </xdr:pic>
      <xdr:sp macro="" textlink="">
        <xdr:nvSpPr>
          <xdr:cNvPr id="12323" name="2 CuadroTexto"/>
          <xdr:cNvSpPr txBox="1">
            <a:spLocks noChangeArrowheads="1"/>
          </xdr:cNvSpPr>
        </xdr:nvSpPr>
        <xdr:spPr bwMode="auto">
          <a:xfrm>
            <a:off x="25" y="3"/>
            <a:ext cx="616" cy="78"/>
          </a:xfrm>
          <a:prstGeom prst="rect">
            <a:avLst/>
          </a:prstGeom>
          <a:noFill/>
          <a:ln w="9525">
            <a:noFill/>
            <a:miter lim="800000"/>
            <a:headEnd/>
            <a:tailEnd/>
          </a:ln>
        </xdr:spPr>
        <xdr:txBody>
          <a:bodyPr vertOverflow="clip" wrap="square" lIns="91440" tIns="45720" rIns="91440" bIns="45720" anchor="t" upright="1"/>
          <a:lstStyle/>
          <a:p>
            <a:pPr algn="l" rtl="0">
              <a:lnSpc>
                <a:spcPts val="1500"/>
              </a:lnSpc>
              <a:defRPr sz="1000"/>
            </a:pPr>
            <a:r>
              <a:rPr lang="es-AR" sz="1400" b="1" i="0" u="none" strike="noStrike" baseline="0">
                <a:solidFill>
                  <a:srgbClr val="FFFFFF"/>
                </a:solidFill>
                <a:latin typeface="Calibri"/>
              </a:rPr>
              <a:t>CERTIFICACIÓN  ENERGÉTICA EN VIVIENDAS</a:t>
            </a:r>
          </a:p>
          <a:p>
            <a:pPr algn="l" rtl="0">
              <a:lnSpc>
                <a:spcPts val="1500"/>
              </a:lnSpc>
              <a:defRPr sz="1000"/>
            </a:pPr>
            <a:endParaRPr lang="es-AR" sz="1400" b="1" i="0" u="none" strike="noStrike" baseline="0">
              <a:solidFill>
                <a:srgbClr val="FFFFFF"/>
              </a:solidFill>
              <a:latin typeface="Calibri"/>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57150</xdr:colOff>
      <xdr:row>77</xdr:row>
      <xdr:rowOff>66675</xdr:rowOff>
    </xdr:from>
    <xdr:to>
      <xdr:col>14</xdr:col>
      <xdr:colOff>38100</xdr:colOff>
      <xdr:row>86</xdr:row>
      <xdr:rowOff>76200</xdr:rowOff>
    </xdr:to>
    <xdr:graphicFrame macro="">
      <xdr:nvGraphicFramePr>
        <xdr:cNvPr id="312683"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34</xdr:row>
      <xdr:rowOff>95250</xdr:rowOff>
    </xdr:from>
    <xdr:to>
      <xdr:col>9</xdr:col>
      <xdr:colOff>190500</xdr:colOff>
      <xdr:row>38</xdr:row>
      <xdr:rowOff>76200</xdr:rowOff>
    </xdr:to>
    <xdr:graphicFrame macro="">
      <xdr:nvGraphicFramePr>
        <xdr:cNvPr id="312684"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142875</xdr:colOff>
      <xdr:row>47</xdr:row>
      <xdr:rowOff>609600</xdr:rowOff>
    </xdr:from>
    <xdr:to>
      <xdr:col>1</xdr:col>
      <xdr:colOff>190500</xdr:colOff>
      <xdr:row>49</xdr:row>
      <xdr:rowOff>9525</xdr:rowOff>
    </xdr:to>
    <xdr:sp macro="" textlink="">
      <xdr:nvSpPr>
        <xdr:cNvPr id="312685" name="Freeform 15"/>
        <xdr:cNvSpPr>
          <a:spLocks noChangeAspect="1"/>
        </xdr:cNvSpPr>
      </xdr:nvSpPr>
      <xdr:spPr bwMode="auto">
        <a:xfrm>
          <a:off x="142875" y="11801475"/>
          <a:ext cx="228600" cy="219075"/>
        </a:xfrm>
        <a:custGeom>
          <a:avLst/>
          <a:gdLst>
            <a:gd name="T0" fmla="*/ 0 w 44"/>
            <a:gd name="T1" fmla="*/ 2147483647 h 46"/>
            <a:gd name="T2" fmla="*/ 0 w 44"/>
            <a:gd name="T3" fmla="*/ 0 h 46"/>
            <a:gd name="T4" fmla="*/ 2147483647 w 44"/>
            <a:gd name="T5" fmla="*/ 0 h 46"/>
            <a:gd name="T6" fmla="*/ 2147483647 w 44"/>
            <a:gd name="T7" fmla="*/ 2147483647 h 46"/>
            <a:gd name="T8" fmla="*/ 2147483647 w 44"/>
            <a:gd name="T9" fmla="*/ 2147483647 h 46"/>
            <a:gd name="T10" fmla="*/ 2147483647 w 44"/>
            <a:gd name="T11" fmla="*/ 2147483647 h 46"/>
            <a:gd name="T12" fmla="*/ 2147483647 w 44"/>
            <a:gd name="T13" fmla="*/ 2147483647 h 46"/>
            <a:gd name="T14" fmla="*/ 2147483647 w 44"/>
            <a:gd name="T15" fmla="*/ 2147483647 h 46"/>
            <a:gd name="T16" fmla="*/ 2147483647 w 44"/>
            <a:gd name="T17" fmla="*/ 2147483647 h 46"/>
            <a:gd name="T18" fmla="*/ 2147483647 w 44"/>
            <a:gd name="T19" fmla="*/ 2147483647 h 4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4"/>
            <a:gd name="T31" fmla="*/ 0 h 46"/>
            <a:gd name="T32" fmla="*/ 44 w 44"/>
            <a:gd name="T33" fmla="*/ 46 h 4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4" h="46">
              <a:moveTo>
                <a:pt x="0" y="45"/>
              </a:moveTo>
              <a:lnTo>
                <a:pt x="0" y="0"/>
              </a:lnTo>
              <a:lnTo>
                <a:pt x="44" y="0"/>
              </a:lnTo>
              <a:lnTo>
                <a:pt x="43" y="6"/>
              </a:lnTo>
              <a:lnTo>
                <a:pt x="29" y="8"/>
              </a:lnTo>
              <a:lnTo>
                <a:pt x="17" y="15"/>
              </a:lnTo>
              <a:lnTo>
                <a:pt x="11" y="22"/>
              </a:lnTo>
              <a:lnTo>
                <a:pt x="6" y="32"/>
              </a:lnTo>
              <a:lnTo>
                <a:pt x="5" y="39"/>
              </a:lnTo>
              <a:lnTo>
                <a:pt x="4" y="46"/>
              </a:lnTo>
            </a:path>
          </a:pathLst>
        </a:custGeom>
        <a:solidFill>
          <a:srgbClr val="FFFFFF"/>
        </a:solidFill>
        <a:ln>
          <a:noFill/>
        </a:ln>
        <a:extLst>
          <a:ext uri="{91240B29-F687-4F45-9708-019B960494DF}">
            <a14:hiddenLine xmlns:a14="http://schemas.microsoft.com/office/drawing/2010/main" w="9525" cap="flat" cmpd="sng">
              <a:solidFill>
                <a:srgbClr val="000000"/>
              </a:solidFill>
              <a:prstDash val="solid"/>
              <a:round/>
              <a:headEnd type="none" w="med" len="med"/>
              <a:tailEnd type="none" w="med" len="med"/>
            </a14:hiddenLine>
          </a:ext>
        </a:extLst>
      </xdr:spPr>
    </xdr:sp>
    <xdr:clientData/>
  </xdr:twoCellAnchor>
  <xdr:twoCellAnchor editAs="oneCell">
    <xdr:from>
      <xdr:col>31</xdr:col>
      <xdr:colOff>28575</xdr:colOff>
      <xdr:row>47</xdr:row>
      <xdr:rowOff>609600</xdr:rowOff>
    </xdr:from>
    <xdr:to>
      <xdr:col>32</xdr:col>
      <xdr:colOff>19050</xdr:colOff>
      <xdr:row>49</xdr:row>
      <xdr:rowOff>9525</xdr:rowOff>
    </xdr:to>
    <xdr:sp macro="" textlink="">
      <xdr:nvSpPr>
        <xdr:cNvPr id="312686" name="Freeform 16"/>
        <xdr:cNvSpPr>
          <a:spLocks noChangeAspect="1"/>
        </xdr:cNvSpPr>
      </xdr:nvSpPr>
      <xdr:spPr bwMode="auto">
        <a:xfrm flipH="1">
          <a:off x="7058025" y="11801475"/>
          <a:ext cx="209550" cy="219075"/>
        </a:xfrm>
        <a:custGeom>
          <a:avLst/>
          <a:gdLst>
            <a:gd name="T0" fmla="*/ 0 w 44"/>
            <a:gd name="T1" fmla="*/ 2147483647 h 46"/>
            <a:gd name="T2" fmla="*/ 0 w 44"/>
            <a:gd name="T3" fmla="*/ 0 h 46"/>
            <a:gd name="T4" fmla="*/ 2147483647 w 44"/>
            <a:gd name="T5" fmla="*/ 0 h 46"/>
            <a:gd name="T6" fmla="*/ 2147483647 w 44"/>
            <a:gd name="T7" fmla="*/ 2147483647 h 46"/>
            <a:gd name="T8" fmla="*/ 2147483647 w 44"/>
            <a:gd name="T9" fmla="*/ 2147483647 h 46"/>
            <a:gd name="T10" fmla="*/ 2147483647 w 44"/>
            <a:gd name="T11" fmla="*/ 2147483647 h 46"/>
            <a:gd name="T12" fmla="*/ 2147483647 w 44"/>
            <a:gd name="T13" fmla="*/ 2147483647 h 46"/>
            <a:gd name="T14" fmla="*/ 2147483647 w 44"/>
            <a:gd name="T15" fmla="*/ 2147483647 h 46"/>
            <a:gd name="T16" fmla="*/ 2147483647 w 44"/>
            <a:gd name="T17" fmla="*/ 2147483647 h 46"/>
            <a:gd name="T18" fmla="*/ 2147483647 w 44"/>
            <a:gd name="T19" fmla="*/ 2147483647 h 4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4"/>
            <a:gd name="T31" fmla="*/ 0 h 46"/>
            <a:gd name="T32" fmla="*/ 44 w 44"/>
            <a:gd name="T33" fmla="*/ 46 h 4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4" h="46">
              <a:moveTo>
                <a:pt x="0" y="45"/>
              </a:moveTo>
              <a:lnTo>
                <a:pt x="0" y="0"/>
              </a:lnTo>
              <a:lnTo>
                <a:pt x="44" y="0"/>
              </a:lnTo>
              <a:lnTo>
                <a:pt x="43" y="6"/>
              </a:lnTo>
              <a:lnTo>
                <a:pt x="29" y="8"/>
              </a:lnTo>
              <a:lnTo>
                <a:pt x="17" y="15"/>
              </a:lnTo>
              <a:lnTo>
                <a:pt x="11" y="22"/>
              </a:lnTo>
              <a:lnTo>
                <a:pt x="6" y="32"/>
              </a:lnTo>
              <a:lnTo>
                <a:pt x="5" y="39"/>
              </a:lnTo>
              <a:lnTo>
                <a:pt x="4" y="46"/>
              </a:lnTo>
            </a:path>
          </a:pathLst>
        </a:custGeom>
        <a:solidFill>
          <a:srgbClr val="FFFFFF"/>
        </a:solidFill>
        <a:ln>
          <a:noFill/>
        </a:ln>
        <a:extLst>
          <a:ext uri="{91240B29-F687-4F45-9708-019B960494DF}">
            <a14:hiddenLine xmlns:a14="http://schemas.microsoft.com/office/drawing/2010/main" w="9525" cap="flat" cmpd="sng">
              <a:solidFill>
                <a:srgbClr val="000000"/>
              </a:solidFill>
              <a:prstDash val="solid"/>
              <a:round/>
              <a:headEnd type="none" w="med" len="med"/>
              <a:tailEnd type="none" w="med" len="med"/>
            </a14:hiddenLine>
          </a:ext>
        </a:extLst>
      </xdr:spPr>
    </xdr:sp>
    <xdr:clientData/>
  </xdr:twoCellAnchor>
  <xdr:twoCellAnchor>
    <xdr:from>
      <xdr:col>0</xdr:col>
      <xdr:colOff>152400</xdr:colOff>
      <xdr:row>0</xdr:row>
      <xdr:rowOff>123825</xdr:rowOff>
    </xdr:from>
    <xdr:to>
      <xdr:col>1</xdr:col>
      <xdr:colOff>200025</xdr:colOff>
      <xdr:row>2</xdr:row>
      <xdr:rowOff>38100</xdr:rowOff>
    </xdr:to>
    <xdr:sp macro="" textlink="">
      <xdr:nvSpPr>
        <xdr:cNvPr id="312687" name="Freeform 17"/>
        <xdr:cNvSpPr>
          <a:spLocks noChangeAspect="1"/>
        </xdr:cNvSpPr>
      </xdr:nvSpPr>
      <xdr:spPr bwMode="auto">
        <a:xfrm>
          <a:off x="152400" y="123825"/>
          <a:ext cx="228600" cy="238125"/>
        </a:xfrm>
        <a:custGeom>
          <a:avLst/>
          <a:gdLst>
            <a:gd name="T0" fmla="*/ 0 w 44"/>
            <a:gd name="T1" fmla="*/ 2147483647 h 46"/>
            <a:gd name="T2" fmla="*/ 0 w 44"/>
            <a:gd name="T3" fmla="*/ 0 h 46"/>
            <a:gd name="T4" fmla="*/ 2147483647 w 44"/>
            <a:gd name="T5" fmla="*/ 0 h 46"/>
            <a:gd name="T6" fmla="*/ 2147483647 w 44"/>
            <a:gd name="T7" fmla="*/ 2147483647 h 46"/>
            <a:gd name="T8" fmla="*/ 2147483647 w 44"/>
            <a:gd name="T9" fmla="*/ 2147483647 h 46"/>
            <a:gd name="T10" fmla="*/ 2147483647 w 44"/>
            <a:gd name="T11" fmla="*/ 2147483647 h 46"/>
            <a:gd name="T12" fmla="*/ 2147483647 w 44"/>
            <a:gd name="T13" fmla="*/ 2147483647 h 46"/>
            <a:gd name="T14" fmla="*/ 2147483647 w 44"/>
            <a:gd name="T15" fmla="*/ 2147483647 h 46"/>
            <a:gd name="T16" fmla="*/ 2147483647 w 44"/>
            <a:gd name="T17" fmla="*/ 2147483647 h 46"/>
            <a:gd name="T18" fmla="*/ 2147483647 w 44"/>
            <a:gd name="T19" fmla="*/ 2147483647 h 4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4"/>
            <a:gd name="T31" fmla="*/ 0 h 46"/>
            <a:gd name="T32" fmla="*/ 44 w 44"/>
            <a:gd name="T33" fmla="*/ 46 h 4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4" h="46">
              <a:moveTo>
                <a:pt x="0" y="45"/>
              </a:moveTo>
              <a:lnTo>
                <a:pt x="0" y="0"/>
              </a:lnTo>
              <a:lnTo>
                <a:pt x="44" y="0"/>
              </a:lnTo>
              <a:lnTo>
                <a:pt x="43" y="6"/>
              </a:lnTo>
              <a:lnTo>
                <a:pt x="29" y="8"/>
              </a:lnTo>
              <a:lnTo>
                <a:pt x="17" y="15"/>
              </a:lnTo>
              <a:lnTo>
                <a:pt x="11" y="22"/>
              </a:lnTo>
              <a:lnTo>
                <a:pt x="6" y="32"/>
              </a:lnTo>
              <a:lnTo>
                <a:pt x="5" y="39"/>
              </a:lnTo>
              <a:lnTo>
                <a:pt x="4" y="46"/>
              </a:lnTo>
            </a:path>
          </a:pathLst>
        </a:custGeom>
        <a:solidFill>
          <a:srgbClr val="FFFFFF"/>
        </a:solidFill>
        <a:ln>
          <a:noFill/>
        </a:ln>
        <a:extLst>
          <a:ext uri="{91240B29-F687-4F45-9708-019B960494DF}">
            <a14:hiddenLine xmlns:a14="http://schemas.microsoft.com/office/drawing/2010/main" w="9525" cap="flat" cmpd="sng">
              <a:solidFill>
                <a:srgbClr val="000000"/>
              </a:solidFill>
              <a:prstDash val="solid"/>
              <a:round/>
              <a:headEnd type="none" w="med" len="med"/>
              <a:tailEnd type="none" w="med" len="med"/>
            </a14:hiddenLine>
          </a:ext>
        </a:extLst>
      </xdr:spPr>
    </xdr:sp>
    <xdr:clientData/>
  </xdr:twoCellAnchor>
  <xdr:twoCellAnchor>
    <xdr:from>
      <xdr:col>31</xdr:col>
      <xdr:colOff>28575</xdr:colOff>
      <xdr:row>0</xdr:row>
      <xdr:rowOff>133350</xdr:rowOff>
    </xdr:from>
    <xdr:to>
      <xdr:col>32</xdr:col>
      <xdr:colOff>19050</xdr:colOff>
      <xdr:row>1</xdr:row>
      <xdr:rowOff>152400</xdr:rowOff>
    </xdr:to>
    <xdr:sp macro="" textlink="">
      <xdr:nvSpPr>
        <xdr:cNvPr id="312688" name="Freeform 18"/>
        <xdr:cNvSpPr>
          <a:spLocks noChangeAspect="1"/>
        </xdr:cNvSpPr>
      </xdr:nvSpPr>
      <xdr:spPr bwMode="auto">
        <a:xfrm flipH="1">
          <a:off x="7058025" y="133350"/>
          <a:ext cx="209550" cy="180975"/>
        </a:xfrm>
        <a:custGeom>
          <a:avLst/>
          <a:gdLst>
            <a:gd name="T0" fmla="*/ 0 w 44"/>
            <a:gd name="T1" fmla="*/ 2147483647 h 46"/>
            <a:gd name="T2" fmla="*/ 0 w 44"/>
            <a:gd name="T3" fmla="*/ 0 h 46"/>
            <a:gd name="T4" fmla="*/ 2147483647 w 44"/>
            <a:gd name="T5" fmla="*/ 0 h 46"/>
            <a:gd name="T6" fmla="*/ 2147483647 w 44"/>
            <a:gd name="T7" fmla="*/ 2147483647 h 46"/>
            <a:gd name="T8" fmla="*/ 2147483647 w 44"/>
            <a:gd name="T9" fmla="*/ 2147483647 h 46"/>
            <a:gd name="T10" fmla="*/ 2147483647 w 44"/>
            <a:gd name="T11" fmla="*/ 2147483647 h 46"/>
            <a:gd name="T12" fmla="*/ 2147483647 w 44"/>
            <a:gd name="T13" fmla="*/ 2147483647 h 46"/>
            <a:gd name="T14" fmla="*/ 2147483647 w 44"/>
            <a:gd name="T15" fmla="*/ 2147483647 h 46"/>
            <a:gd name="T16" fmla="*/ 2147483647 w 44"/>
            <a:gd name="T17" fmla="*/ 2147483647 h 46"/>
            <a:gd name="T18" fmla="*/ 2147483647 w 44"/>
            <a:gd name="T19" fmla="*/ 2147483647 h 4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4"/>
            <a:gd name="T31" fmla="*/ 0 h 46"/>
            <a:gd name="T32" fmla="*/ 44 w 44"/>
            <a:gd name="T33" fmla="*/ 46 h 4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4" h="46">
              <a:moveTo>
                <a:pt x="0" y="45"/>
              </a:moveTo>
              <a:lnTo>
                <a:pt x="0" y="0"/>
              </a:lnTo>
              <a:lnTo>
                <a:pt x="44" y="0"/>
              </a:lnTo>
              <a:lnTo>
                <a:pt x="43" y="6"/>
              </a:lnTo>
              <a:lnTo>
                <a:pt x="29" y="8"/>
              </a:lnTo>
              <a:lnTo>
                <a:pt x="17" y="15"/>
              </a:lnTo>
              <a:lnTo>
                <a:pt x="11" y="22"/>
              </a:lnTo>
              <a:lnTo>
                <a:pt x="6" y="32"/>
              </a:lnTo>
              <a:lnTo>
                <a:pt x="5" y="39"/>
              </a:lnTo>
              <a:lnTo>
                <a:pt x="4" y="46"/>
              </a:lnTo>
            </a:path>
          </a:pathLst>
        </a:custGeom>
        <a:solidFill>
          <a:srgbClr val="FFFFFF"/>
        </a:solidFill>
        <a:ln>
          <a:noFill/>
        </a:ln>
        <a:extLst>
          <a:ext uri="{91240B29-F687-4F45-9708-019B960494DF}">
            <a14:hiddenLine xmlns:a14="http://schemas.microsoft.com/office/drawing/2010/main" w="9525" cap="flat" cmpd="sng">
              <a:solidFill>
                <a:srgbClr val="000000"/>
              </a:solidFill>
              <a:prstDash val="solid"/>
              <a:round/>
              <a:headEnd type="none" w="med" len="med"/>
              <a:tailEnd type="none" w="med" len="med"/>
            </a14:hiddenLine>
          </a:ext>
        </a:extLst>
      </xdr:spPr>
    </xdr:sp>
    <xdr:clientData/>
  </xdr:twoCellAnchor>
  <xdr:twoCellAnchor>
    <xdr:from>
      <xdr:col>11</xdr:col>
      <xdr:colOff>38100</xdr:colOff>
      <xdr:row>33</xdr:row>
      <xdr:rowOff>28575</xdr:rowOff>
    </xdr:from>
    <xdr:to>
      <xdr:col>20</xdr:col>
      <xdr:colOff>247650</xdr:colOff>
      <xdr:row>37</xdr:row>
      <xdr:rowOff>47625</xdr:rowOff>
    </xdr:to>
    <xdr:graphicFrame macro="">
      <xdr:nvGraphicFramePr>
        <xdr:cNvPr id="312689"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66675</xdr:colOff>
      <xdr:row>32</xdr:row>
      <xdr:rowOff>114300</xdr:rowOff>
    </xdr:from>
    <xdr:to>
      <xdr:col>25</xdr:col>
      <xdr:colOff>114300</xdr:colOff>
      <xdr:row>34</xdr:row>
      <xdr:rowOff>28575</xdr:rowOff>
    </xdr:to>
    <xdr:sp macro="" textlink="">
      <xdr:nvSpPr>
        <xdr:cNvPr id="13338" name="Text Box 26"/>
        <xdr:cNvSpPr txBox="1">
          <a:spLocks noChangeArrowheads="1"/>
        </xdr:cNvSpPr>
      </xdr:nvSpPr>
      <xdr:spPr bwMode="auto">
        <a:xfrm>
          <a:off x="5124450" y="6153150"/>
          <a:ext cx="704850" cy="22860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Calefacción</a:t>
          </a:r>
        </a:p>
      </xdr:txBody>
    </xdr:sp>
    <xdr:clientData/>
  </xdr:twoCellAnchor>
  <xdr:twoCellAnchor>
    <xdr:from>
      <xdr:col>22</xdr:col>
      <xdr:colOff>57150</xdr:colOff>
      <xdr:row>33</xdr:row>
      <xdr:rowOff>142875</xdr:rowOff>
    </xdr:from>
    <xdr:to>
      <xdr:col>25</xdr:col>
      <xdr:colOff>104775</xdr:colOff>
      <xdr:row>34</xdr:row>
      <xdr:rowOff>152400</xdr:rowOff>
    </xdr:to>
    <xdr:sp macro="" textlink="">
      <xdr:nvSpPr>
        <xdr:cNvPr id="13339" name="Text Box 27"/>
        <xdr:cNvSpPr txBox="1">
          <a:spLocks noChangeArrowheads="1"/>
        </xdr:cNvSpPr>
      </xdr:nvSpPr>
      <xdr:spPr bwMode="auto">
        <a:xfrm>
          <a:off x="5114925" y="6334125"/>
          <a:ext cx="704850" cy="17145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Iluminación</a:t>
          </a:r>
        </a:p>
      </xdr:txBody>
    </xdr:sp>
    <xdr:clientData/>
  </xdr:twoCellAnchor>
  <xdr:twoCellAnchor>
    <xdr:from>
      <xdr:col>22</xdr:col>
      <xdr:colOff>66675</xdr:colOff>
      <xdr:row>35</xdr:row>
      <xdr:rowOff>0</xdr:rowOff>
    </xdr:from>
    <xdr:to>
      <xdr:col>25</xdr:col>
      <xdr:colOff>114300</xdr:colOff>
      <xdr:row>36</xdr:row>
      <xdr:rowOff>9525</xdr:rowOff>
    </xdr:to>
    <xdr:sp macro="" textlink="">
      <xdr:nvSpPr>
        <xdr:cNvPr id="13340" name="Text Box 28"/>
        <xdr:cNvSpPr txBox="1">
          <a:spLocks noChangeArrowheads="1"/>
        </xdr:cNvSpPr>
      </xdr:nvSpPr>
      <xdr:spPr bwMode="auto">
        <a:xfrm>
          <a:off x="5124450" y="6515100"/>
          <a:ext cx="704850" cy="17145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Agua Caliente S</a:t>
          </a:r>
        </a:p>
      </xdr:txBody>
    </xdr:sp>
    <xdr:clientData/>
  </xdr:twoCellAnchor>
  <xdr:twoCellAnchor>
    <xdr:from>
      <xdr:col>1</xdr:col>
      <xdr:colOff>57150</xdr:colOff>
      <xdr:row>78</xdr:row>
      <xdr:rowOff>38100</xdr:rowOff>
    </xdr:from>
    <xdr:to>
      <xdr:col>4</xdr:col>
      <xdr:colOff>200025</xdr:colOff>
      <xdr:row>79</xdr:row>
      <xdr:rowOff>28575</xdr:rowOff>
    </xdr:to>
    <xdr:sp macro="" textlink="">
      <xdr:nvSpPr>
        <xdr:cNvPr id="13342" name="Text Box 30"/>
        <xdr:cNvSpPr txBox="1">
          <a:spLocks noChangeArrowheads="1"/>
        </xdr:cNvSpPr>
      </xdr:nvSpPr>
      <xdr:spPr bwMode="auto">
        <a:xfrm>
          <a:off x="238125" y="20240625"/>
          <a:ext cx="866775" cy="15240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Vivienda aislada</a:t>
          </a:r>
        </a:p>
      </xdr:txBody>
    </xdr:sp>
    <xdr:clientData/>
  </xdr:twoCellAnchor>
  <xdr:twoCellAnchor>
    <xdr:from>
      <xdr:col>1</xdr:col>
      <xdr:colOff>57150</xdr:colOff>
      <xdr:row>80</xdr:row>
      <xdr:rowOff>19050</xdr:rowOff>
    </xdr:from>
    <xdr:to>
      <xdr:col>4</xdr:col>
      <xdr:colOff>200025</xdr:colOff>
      <xdr:row>81</xdr:row>
      <xdr:rowOff>9525</xdr:rowOff>
    </xdr:to>
    <xdr:sp macro="" textlink="">
      <xdr:nvSpPr>
        <xdr:cNvPr id="13343" name="Text Box 31"/>
        <xdr:cNvSpPr txBox="1">
          <a:spLocks noChangeArrowheads="1"/>
        </xdr:cNvSpPr>
      </xdr:nvSpPr>
      <xdr:spPr bwMode="auto">
        <a:xfrm>
          <a:off x="238125" y="20545425"/>
          <a:ext cx="866775" cy="15240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Vivienda pareada</a:t>
          </a:r>
        </a:p>
      </xdr:txBody>
    </xdr:sp>
    <xdr:clientData/>
  </xdr:twoCellAnchor>
  <xdr:twoCellAnchor>
    <xdr:from>
      <xdr:col>1</xdr:col>
      <xdr:colOff>66675</xdr:colOff>
      <xdr:row>81</xdr:row>
      <xdr:rowOff>123825</xdr:rowOff>
    </xdr:from>
    <xdr:to>
      <xdr:col>4</xdr:col>
      <xdr:colOff>209550</xdr:colOff>
      <xdr:row>82</xdr:row>
      <xdr:rowOff>114300</xdr:rowOff>
    </xdr:to>
    <xdr:sp macro="" textlink="">
      <xdr:nvSpPr>
        <xdr:cNvPr id="13344" name="Text Box 32"/>
        <xdr:cNvSpPr txBox="1">
          <a:spLocks noChangeArrowheads="1"/>
        </xdr:cNvSpPr>
      </xdr:nvSpPr>
      <xdr:spPr bwMode="auto">
        <a:xfrm>
          <a:off x="247650" y="20812125"/>
          <a:ext cx="866775" cy="15240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Departamento</a:t>
          </a:r>
        </a:p>
      </xdr:txBody>
    </xdr:sp>
    <xdr:clientData/>
  </xdr:twoCellAnchor>
  <xdr:twoCellAnchor>
    <xdr:from>
      <xdr:col>1</xdr:col>
      <xdr:colOff>171450</xdr:colOff>
      <xdr:row>85</xdr:row>
      <xdr:rowOff>85725</xdr:rowOff>
    </xdr:from>
    <xdr:to>
      <xdr:col>12</xdr:col>
      <xdr:colOff>57150</xdr:colOff>
      <xdr:row>86</xdr:row>
      <xdr:rowOff>114300</xdr:rowOff>
    </xdr:to>
    <xdr:sp macro="" textlink="">
      <xdr:nvSpPr>
        <xdr:cNvPr id="13345" name="Text Box 33"/>
        <xdr:cNvSpPr txBox="1">
          <a:spLocks noChangeArrowheads="1"/>
        </xdr:cNvSpPr>
      </xdr:nvSpPr>
      <xdr:spPr bwMode="auto">
        <a:xfrm>
          <a:off x="352425" y="21421725"/>
          <a:ext cx="2438400" cy="304800"/>
        </a:xfrm>
        <a:prstGeom prst="rect">
          <a:avLst/>
        </a:prstGeom>
        <a:solidFill>
          <a:srgbClr val="FFFFFF"/>
        </a:solidFill>
        <a:ln w="9525" algn="ctr">
          <a:noFill/>
          <a:miter lim="800000"/>
          <a:headEnd/>
          <a:tailEnd/>
        </a:ln>
        <a:effectLst/>
      </xdr:spPr>
      <xdr:txBody>
        <a:bodyPr vertOverflow="clip" wrap="square" lIns="0" tIns="22860" rIns="27432" bIns="0" anchor="t" upright="1"/>
        <a:lstStyle/>
        <a:p>
          <a:pPr algn="r" rtl="0">
            <a:defRPr sz="1000"/>
          </a:pPr>
          <a:r>
            <a:rPr lang="en-US" sz="800" b="0" i="0" u="none" strike="noStrike" baseline="0">
              <a:solidFill>
                <a:srgbClr val="000000"/>
              </a:solidFill>
              <a:latin typeface="Arial"/>
              <a:cs typeface="Arial"/>
            </a:rPr>
            <a:t>Demanda de energía en calefacción [kWh/m</a:t>
          </a:r>
          <a:r>
            <a:rPr lang="en-US" sz="800" b="0" i="0" u="none" strike="noStrike" baseline="30000">
              <a:solidFill>
                <a:srgbClr val="000000"/>
              </a:solidFill>
              <a:latin typeface="Arial"/>
              <a:cs typeface="Arial"/>
            </a:rPr>
            <a:t>2</a:t>
          </a:r>
          <a:r>
            <a:rPr lang="en-US" sz="800" b="0" i="0" u="none" strike="noStrike" baseline="0">
              <a:solidFill>
                <a:srgbClr val="000000"/>
              </a:solidFill>
              <a:latin typeface="Arial"/>
              <a:cs typeface="Arial"/>
            </a:rPr>
            <a:t> año]</a:t>
          </a:r>
        </a:p>
      </xdr:txBody>
    </xdr:sp>
    <xdr:clientData/>
  </xdr:twoCellAnchor>
  <xdr:twoCellAnchor editAs="oneCell">
    <xdr:from>
      <xdr:col>0</xdr:col>
      <xdr:colOff>152400</xdr:colOff>
      <xdr:row>89</xdr:row>
      <xdr:rowOff>1104900</xdr:rowOff>
    </xdr:from>
    <xdr:to>
      <xdr:col>1</xdr:col>
      <xdr:colOff>200025</xdr:colOff>
      <xdr:row>91</xdr:row>
      <xdr:rowOff>19050</xdr:rowOff>
    </xdr:to>
    <xdr:sp macro="" textlink="">
      <xdr:nvSpPr>
        <xdr:cNvPr id="312697" name="Freeform 36"/>
        <xdr:cNvSpPr>
          <a:spLocks noChangeAspect="1"/>
        </xdr:cNvSpPr>
      </xdr:nvSpPr>
      <xdr:spPr bwMode="auto">
        <a:xfrm>
          <a:off x="152400" y="23764875"/>
          <a:ext cx="228600" cy="209550"/>
        </a:xfrm>
        <a:custGeom>
          <a:avLst/>
          <a:gdLst>
            <a:gd name="T0" fmla="*/ 0 w 44"/>
            <a:gd name="T1" fmla="*/ 2147483647 h 46"/>
            <a:gd name="T2" fmla="*/ 0 w 44"/>
            <a:gd name="T3" fmla="*/ 0 h 46"/>
            <a:gd name="T4" fmla="*/ 2147483647 w 44"/>
            <a:gd name="T5" fmla="*/ 0 h 46"/>
            <a:gd name="T6" fmla="*/ 2147483647 w 44"/>
            <a:gd name="T7" fmla="*/ 2147483647 h 46"/>
            <a:gd name="T8" fmla="*/ 2147483647 w 44"/>
            <a:gd name="T9" fmla="*/ 2147483647 h 46"/>
            <a:gd name="T10" fmla="*/ 2147483647 w 44"/>
            <a:gd name="T11" fmla="*/ 2147483647 h 46"/>
            <a:gd name="T12" fmla="*/ 2147483647 w 44"/>
            <a:gd name="T13" fmla="*/ 2147483647 h 46"/>
            <a:gd name="T14" fmla="*/ 2147483647 w 44"/>
            <a:gd name="T15" fmla="*/ 2147483647 h 46"/>
            <a:gd name="T16" fmla="*/ 2147483647 w 44"/>
            <a:gd name="T17" fmla="*/ 2147483647 h 46"/>
            <a:gd name="T18" fmla="*/ 2147483647 w 44"/>
            <a:gd name="T19" fmla="*/ 2147483647 h 4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4"/>
            <a:gd name="T31" fmla="*/ 0 h 46"/>
            <a:gd name="T32" fmla="*/ 44 w 44"/>
            <a:gd name="T33" fmla="*/ 46 h 4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4" h="46">
              <a:moveTo>
                <a:pt x="0" y="45"/>
              </a:moveTo>
              <a:lnTo>
                <a:pt x="0" y="0"/>
              </a:lnTo>
              <a:lnTo>
                <a:pt x="44" y="0"/>
              </a:lnTo>
              <a:lnTo>
                <a:pt x="43" y="6"/>
              </a:lnTo>
              <a:lnTo>
                <a:pt x="29" y="8"/>
              </a:lnTo>
              <a:lnTo>
                <a:pt x="17" y="15"/>
              </a:lnTo>
              <a:lnTo>
                <a:pt x="11" y="22"/>
              </a:lnTo>
              <a:lnTo>
                <a:pt x="6" y="32"/>
              </a:lnTo>
              <a:lnTo>
                <a:pt x="5" y="39"/>
              </a:lnTo>
              <a:lnTo>
                <a:pt x="4" y="46"/>
              </a:lnTo>
            </a:path>
          </a:pathLst>
        </a:custGeom>
        <a:solidFill>
          <a:srgbClr val="FFFFFF"/>
        </a:solidFill>
        <a:ln>
          <a:noFill/>
        </a:ln>
        <a:extLst>
          <a:ext uri="{91240B29-F687-4F45-9708-019B960494DF}">
            <a14:hiddenLine xmlns:a14="http://schemas.microsoft.com/office/drawing/2010/main" w="9525" cap="flat" cmpd="sng">
              <a:solidFill>
                <a:srgbClr val="000000"/>
              </a:solidFill>
              <a:prstDash val="solid"/>
              <a:round/>
              <a:headEnd type="none" w="med" len="med"/>
              <a:tailEnd type="none" w="med" len="med"/>
            </a14:hiddenLine>
          </a:ext>
        </a:extLst>
      </xdr:spPr>
    </xdr:sp>
    <xdr:clientData/>
  </xdr:twoCellAnchor>
  <xdr:twoCellAnchor editAs="oneCell">
    <xdr:from>
      <xdr:col>27</xdr:col>
      <xdr:colOff>114300</xdr:colOff>
      <xdr:row>90</xdr:row>
      <xdr:rowOff>28575</xdr:rowOff>
    </xdr:from>
    <xdr:to>
      <xdr:col>30</xdr:col>
      <xdr:colOff>171450</xdr:colOff>
      <xdr:row>92</xdr:row>
      <xdr:rowOff>257175</xdr:rowOff>
    </xdr:to>
    <xdr:pic>
      <xdr:nvPicPr>
        <xdr:cNvPr id="312698" name="Picture 56" descr="Logo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267450" y="23822025"/>
          <a:ext cx="7143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1</xdr:row>
      <xdr:rowOff>38100</xdr:rowOff>
    </xdr:from>
    <xdr:to>
      <xdr:col>31</xdr:col>
      <xdr:colOff>57150</xdr:colOff>
      <xdr:row>3</xdr:row>
      <xdr:rowOff>266700</xdr:rowOff>
    </xdr:to>
    <xdr:pic>
      <xdr:nvPicPr>
        <xdr:cNvPr id="312699" name="Picture 57" descr="Logo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72225" y="200025"/>
          <a:ext cx="7143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9525</xdr:colOff>
      <xdr:row>48</xdr:row>
      <xdr:rowOff>38100</xdr:rowOff>
    </xdr:from>
    <xdr:to>
      <xdr:col>31</xdr:col>
      <xdr:colOff>66675</xdr:colOff>
      <xdr:row>50</xdr:row>
      <xdr:rowOff>266700</xdr:rowOff>
    </xdr:to>
    <xdr:pic>
      <xdr:nvPicPr>
        <xdr:cNvPr id="312700" name="Picture 58" descr="Logo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81750" y="11887200"/>
          <a:ext cx="7143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209550</xdr:colOff>
      <xdr:row>35</xdr:row>
      <xdr:rowOff>76200</xdr:rowOff>
    </xdr:from>
    <xdr:to>
      <xdr:col>9</xdr:col>
      <xdr:colOff>152400</xdr:colOff>
      <xdr:row>36</xdr:row>
      <xdr:rowOff>104775</xdr:rowOff>
    </xdr:to>
    <xdr:sp macro="" textlink="">
      <xdr:nvSpPr>
        <xdr:cNvPr id="13371" name="Text Box 59"/>
        <xdr:cNvSpPr txBox="1">
          <a:spLocks noChangeArrowheads="1"/>
        </xdr:cNvSpPr>
      </xdr:nvSpPr>
      <xdr:spPr bwMode="auto">
        <a:xfrm>
          <a:off x="2066925" y="6591300"/>
          <a:ext cx="161925" cy="19050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t>
          </a:r>
        </a:p>
      </xdr:txBody>
    </xdr:sp>
    <xdr:clientData/>
  </xdr:twoCellAnchor>
  <xdr:twoCellAnchor editAs="oneCell">
    <xdr:from>
      <xdr:col>1</xdr:col>
      <xdr:colOff>123825</xdr:colOff>
      <xdr:row>44</xdr:row>
      <xdr:rowOff>200025</xdr:rowOff>
    </xdr:from>
    <xdr:to>
      <xdr:col>5</xdr:col>
      <xdr:colOff>114300</xdr:colOff>
      <xdr:row>45</xdr:row>
      <xdr:rowOff>38100</xdr:rowOff>
    </xdr:to>
    <xdr:pic>
      <xdr:nvPicPr>
        <xdr:cNvPr id="312702" name="Picture 60" descr="PPEE"/>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04800" y="10344150"/>
          <a:ext cx="10096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104775</xdr:colOff>
      <xdr:row>44</xdr:row>
      <xdr:rowOff>95250</xdr:rowOff>
    </xdr:from>
    <xdr:to>
      <xdr:col>9</xdr:col>
      <xdr:colOff>123825</xdr:colOff>
      <xdr:row>45</xdr:row>
      <xdr:rowOff>95250</xdr:rowOff>
    </xdr:to>
    <xdr:pic>
      <xdr:nvPicPr>
        <xdr:cNvPr id="312703" name="Picture 61" descr="Minvu"/>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743075" y="10239375"/>
          <a:ext cx="457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66675</xdr:colOff>
      <xdr:row>44</xdr:row>
      <xdr:rowOff>542925</xdr:rowOff>
    </xdr:from>
    <xdr:to>
      <xdr:col>32</xdr:col>
      <xdr:colOff>28575</xdr:colOff>
      <xdr:row>46</xdr:row>
      <xdr:rowOff>9525</xdr:rowOff>
    </xdr:to>
    <xdr:sp macro="" textlink="">
      <xdr:nvSpPr>
        <xdr:cNvPr id="312704" name="Freeform 62"/>
        <xdr:cNvSpPr>
          <a:spLocks noChangeAspect="1"/>
        </xdr:cNvSpPr>
      </xdr:nvSpPr>
      <xdr:spPr bwMode="auto">
        <a:xfrm rot="5400000" flipH="1">
          <a:off x="7091363" y="10634662"/>
          <a:ext cx="190500" cy="180975"/>
        </a:xfrm>
        <a:custGeom>
          <a:avLst/>
          <a:gdLst>
            <a:gd name="T0" fmla="*/ 0 w 44"/>
            <a:gd name="T1" fmla="*/ 2147483647 h 46"/>
            <a:gd name="T2" fmla="*/ 0 w 44"/>
            <a:gd name="T3" fmla="*/ 0 h 46"/>
            <a:gd name="T4" fmla="*/ 2147483647 w 44"/>
            <a:gd name="T5" fmla="*/ 0 h 46"/>
            <a:gd name="T6" fmla="*/ 2147483647 w 44"/>
            <a:gd name="T7" fmla="*/ 2147483647 h 46"/>
            <a:gd name="T8" fmla="*/ 2147483647 w 44"/>
            <a:gd name="T9" fmla="*/ 2147483647 h 46"/>
            <a:gd name="T10" fmla="*/ 2147483647 w 44"/>
            <a:gd name="T11" fmla="*/ 2147483647 h 46"/>
            <a:gd name="T12" fmla="*/ 2147483647 w 44"/>
            <a:gd name="T13" fmla="*/ 2147483647 h 46"/>
            <a:gd name="T14" fmla="*/ 2147483647 w 44"/>
            <a:gd name="T15" fmla="*/ 2147483647 h 46"/>
            <a:gd name="T16" fmla="*/ 2147483647 w 44"/>
            <a:gd name="T17" fmla="*/ 2147483647 h 46"/>
            <a:gd name="T18" fmla="*/ 2147483647 w 44"/>
            <a:gd name="T19" fmla="*/ 2147483647 h 4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4"/>
            <a:gd name="T31" fmla="*/ 0 h 46"/>
            <a:gd name="T32" fmla="*/ 44 w 44"/>
            <a:gd name="T33" fmla="*/ 46 h 4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4" h="46">
              <a:moveTo>
                <a:pt x="0" y="45"/>
              </a:moveTo>
              <a:lnTo>
                <a:pt x="0" y="0"/>
              </a:lnTo>
              <a:lnTo>
                <a:pt x="44" y="0"/>
              </a:lnTo>
              <a:lnTo>
                <a:pt x="43" y="6"/>
              </a:lnTo>
              <a:lnTo>
                <a:pt x="29" y="8"/>
              </a:lnTo>
              <a:lnTo>
                <a:pt x="17" y="15"/>
              </a:lnTo>
              <a:lnTo>
                <a:pt x="11" y="22"/>
              </a:lnTo>
              <a:lnTo>
                <a:pt x="6" y="32"/>
              </a:lnTo>
              <a:lnTo>
                <a:pt x="5" y="39"/>
              </a:lnTo>
              <a:lnTo>
                <a:pt x="4" y="46"/>
              </a:lnTo>
            </a:path>
          </a:pathLst>
        </a:custGeom>
        <a:solidFill>
          <a:srgbClr val="FFFFFF"/>
        </a:solidFill>
        <a:ln>
          <a:noFill/>
        </a:ln>
        <a:extLst>
          <a:ext uri="{91240B29-F687-4F45-9708-019B960494DF}">
            <a14:hiddenLine xmlns:a14="http://schemas.microsoft.com/office/drawing/2010/main" w="9525" cap="flat" cmpd="sng">
              <a:solidFill>
                <a:srgbClr val="000000"/>
              </a:solidFill>
              <a:prstDash val="solid"/>
              <a:round/>
              <a:headEnd type="none" w="med" len="med"/>
              <a:tailEnd type="none" w="med" len="med"/>
            </a14:hiddenLine>
          </a:ext>
        </a:extLst>
      </xdr:spPr>
    </xdr:sp>
    <xdr:clientData/>
  </xdr:twoCellAnchor>
  <xdr:twoCellAnchor>
    <xdr:from>
      <xdr:col>0</xdr:col>
      <xdr:colOff>152400</xdr:colOff>
      <xdr:row>45</xdr:row>
      <xdr:rowOff>38100</xdr:rowOff>
    </xdr:from>
    <xdr:to>
      <xdr:col>1</xdr:col>
      <xdr:colOff>180975</xdr:colOff>
      <xdr:row>46</xdr:row>
      <xdr:rowOff>38100</xdr:rowOff>
    </xdr:to>
    <xdr:sp macro="" textlink="">
      <xdr:nvSpPr>
        <xdr:cNvPr id="312705" name="Freeform 63"/>
        <xdr:cNvSpPr>
          <a:spLocks noChangeAspect="1"/>
        </xdr:cNvSpPr>
      </xdr:nvSpPr>
      <xdr:spPr bwMode="auto">
        <a:xfrm rot="10800000" flipH="1">
          <a:off x="152400" y="10668000"/>
          <a:ext cx="209550" cy="180975"/>
        </a:xfrm>
        <a:custGeom>
          <a:avLst/>
          <a:gdLst>
            <a:gd name="T0" fmla="*/ 0 w 44"/>
            <a:gd name="T1" fmla="*/ 2147483647 h 46"/>
            <a:gd name="T2" fmla="*/ 0 w 44"/>
            <a:gd name="T3" fmla="*/ 0 h 46"/>
            <a:gd name="T4" fmla="*/ 2147483647 w 44"/>
            <a:gd name="T5" fmla="*/ 0 h 46"/>
            <a:gd name="T6" fmla="*/ 2147483647 w 44"/>
            <a:gd name="T7" fmla="*/ 2147483647 h 46"/>
            <a:gd name="T8" fmla="*/ 2147483647 w 44"/>
            <a:gd name="T9" fmla="*/ 2147483647 h 46"/>
            <a:gd name="T10" fmla="*/ 2147483647 w 44"/>
            <a:gd name="T11" fmla="*/ 2147483647 h 46"/>
            <a:gd name="T12" fmla="*/ 2147483647 w 44"/>
            <a:gd name="T13" fmla="*/ 2147483647 h 46"/>
            <a:gd name="T14" fmla="*/ 2147483647 w 44"/>
            <a:gd name="T15" fmla="*/ 2147483647 h 46"/>
            <a:gd name="T16" fmla="*/ 2147483647 w 44"/>
            <a:gd name="T17" fmla="*/ 2147483647 h 46"/>
            <a:gd name="T18" fmla="*/ 2147483647 w 44"/>
            <a:gd name="T19" fmla="*/ 2147483647 h 4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4"/>
            <a:gd name="T31" fmla="*/ 0 h 46"/>
            <a:gd name="T32" fmla="*/ 44 w 44"/>
            <a:gd name="T33" fmla="*/ 46 h 4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4" h="46">
              <a:moveTo>
                <a:pt x="0" y="45"/>
              </a:moveTo>
              <a:lnTo>
                <a:pt x="0" y="0"/>
              </a:lnTo>
              <a:lnTo>
                <a:pt x="44" y="0"/>
              </a:lnTo>
              <a:lnTo>
                <a:pt x="43" y="6"/>
              </a:lnTo>
              <a:lnTo>
                <a:pt x="29" y="8"/>
              </a:lnTo>
              <a:lnTo>
                <a:pt x="17" y="15"/>
              </a:lnTo>
              <a:lnTo>
                <a:pt x="11" y="22"/>
              </a:lnTo>
              <a:lnTo>
                <a:pt x="6" y="32"/>
              </a:lnTo>
              <a:lnTo>
                <a:pt x="5" y="39"/>
              </a:lnTo>
              <a:lnTo>
                <a:pt x="4" y="46"/>
              </a:lnTo>
            </a:path>
          </a:pathLst>
        </a:custGeom>
        <a:solidFill>
          <a:srgbClr val="FFFFFF"/>
        </a:solidFill>
        <a:ln>
          <a:noFill/>
        </a:ln>
        <a:extLst>
          <a:ext uri="{91240B29-F687-4F45-9708-019B960494DF}">
            <a14:hiddenLine xmlns:a14="http://schemas.microsoft.com/office/drawing/2010/main" w="9525" cap="flat" cmpd="sng">
              <a:solidFill>
                <a:srgbClr val="000000"/>
              </a:solidFill>
              <a:prstDash val="solid"/>
              <a:round/>
              <a:headEnd type="none" w="med" len="med"/>
              <a:tailEnd type="none" w="med" len="med"/>
            </a14:hiddenLine>
          </a:ext>
        </a:extLst>
      </xdr:spPr>
    </xdr:sp>
    <xdr:clientData/>
  </xdr:twoCellAnchor>
  <xdr:twoCellAnchor editAs="oneCell">
    <xdr:from>
      <xdr:col>1</xdr:col>
      <xdr:colOff>123825</xdr:colOff>
      <xdr:row>87</xdr:row>
      <xdr:rowOff>200025</xdr:rowOff>
    </xdr:from>
    <xdr:to>
      <xdr:col>5</xdr:col>
      <xdr:colOff>114300</xdr:colOff>
      <xdr:row>88</xdr:row>
      <xdr:rowOff>38100</xdr:rowOff>
    </xdr:to>
    <xdr:pic>
      <xdr:nvPicPr>
        <xdr:cNvPr id="312706" name="Picture 64" descr="PPEE"/>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04800" y="22193250"/>
          <a:ext cx="10096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104775</xdr:colOff>
      <xdr:row>87</xdr:row>
      <xdr:rowOff>95250</xdr:rowOff>
    </xdr:from>
    <xdr:to>
      <xdr:col>9</xdr:col>
      <xdr:colOff>123825</xdr:colOff>
      <xdr:row>88</xdr:row>
      <xdr:rowOff>95250</xdr:rowOff>
    </xdr:to>
    <xdr:pic>
      <xdr:nvPicPr>
        <xdr:cNvPr id="312707" name="Picture 65" descr="Minvu"/>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743075" y="22088475"/>
          <a:ext cx="457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66675</xdr:colOff>
      <xdr:row>87</xdr:row>
      <xdr:rowOff>542925</xdr:rowOff>
    </xdr:from>
    <xdr:to>
      <xdr:col>32</xdr:col>
      <xdr:colOff>28575</xdr:colOff>
      <xdr:row>89</xdr:row>
      <xdr:rowOff>9525</xdr:rowOff>
    </xdr:to>
    <xdr:sp macro="" textlink="">
      <xdr:nvSpPr>
        <xdr:cNvPr id="312708" name="Freeform 66"/>
        <xdr:cNvSpPr>
          <a:spLocks noChangeAspect="1"/>
        </xdr:cNvSpPr>
      </xdr:nvSpPr>
      <xdr:spPr bwMode="auto">
        <a:xfrm rot="5400000" flipH="1">
          <a:off x="7091363" y="22483762"/>
          <a:ext cx="190500" cy="180975"/>
        </a:xfrm>
        <a:custGeom>
          <a:avLst/>
          <a:gdLst>
            <a:gd name="T0" fmla="*/ 0 w 44"/>
            <a:gd name="T1" fmla="*/ 2147483647 h 46"/>
            <a:gd name="T2" fmla="*/ 0 w 44"/>
            <a:gd name="T3" fmla="*/ 0 h 46"/>
            <a:gd name="T4" fmla="*/ 2147483647 w 44"/>
            <a:gd name="T5" fmla="*/ 0 h 46"/>
            <a:gd name="T6" fmla="*/ 2147483647 w 44"/>
            <a:gd name="T7" fmla="*/ 2147483647 h 46"/>
            <a:gd name="T8" fmla="*/ 2147483647 w 44"/>
            <a:gd name="T9" fmla="*/ 2147483647 h 46"/>
            <a:gd name="T10" fmla="*/ 2147483647 w 44"/>
            <a:gd name="T11" fmla="*/ 2147483647 h 46"/>
            <a:gd name="T12" fmla="*/ 2147483647 w 44"/>
            <a:gd name="T13" fmla="*/ 2147483647 h 46"/>
            <a:gd name="T14" fmla="*/ 2147483647 w 44"/>
            <a:gd name="T15" fmla="*/ 2147483647 h 46"/>
            <a:gd name="T16" fmla="*/ 2147483647 w 44"/>
            <a:gd name="T17" fmla="*/ 2147483647 h 46"/>
            <a:gd name="T18" fmla="*/ 2147483647 w 44"/>
            <a:gd name="T19" fmla="*/ 2147483647 h 4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4"/>
            <a:gd name="T31" fmla="*/ 0 h 46"/>
            <a:gd name="T32" fmla="*/ 44 w 44"/>
            <a:gd name="T33" fmla="*/ 46 h 4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4" h="46">
              <a:moveTo>
                <a:pt x="0" y="45"/>
              </a:moveTo>
              <a:lnTo>
                <a:pt x="0" y="0"/>
              </a:lnTo>
              <a:lnTo>
                <a:pt x="44" y="0"/>
              </a:lnTo>
              <a:lnTo>
                <a:pt x="43" y="6"/>
              </a:lnTo>
              <a:lnTo>
                <a:pt x="29" y="8"/>
              </a:lnTo>
              <a:lnTo>
                <a:pt x="17" y="15"/>
              </a:lnTo>
              <a:lnTo>
                <a:pt x="11" y="22"/>
              </a:lnTo>
              <a:lnTo>
                <a:pt x="6" y="32"/>
              </a:lnTo>
              <a:lnTo>
                <a:pt x="5" y="39"/>
              </a:lnTo>
              <a:lnTo>
                <a:pt x="4" y="46"/>
              </a:lnTo>
            </a:path>
          </a:pathLst>
        </a:custGeom>
        <a:solidFill>
          <a:srgbClr val="FFFFFF"/>
        </a:solidFill>
        <a:ln>
          <a:noFill/>
        </a:ln>
        <a:extLst>
          <a:ext uri="{91240B29-F687-4F45-9708-019B960494DF}">
            <a14:hiddenLine xmlns:a14="http://schemas.microsoft.com/office/drawing/2010/main" w="9525" cap="flat" cmpd="sng">
              <a:solidFill>
                <a:srgbClr val="000000"/>
              </a:solidFill>
              <a:prstDash val="solid"/>
              <a:round/>
              <a:headEnd type="none" w="med" len="med"/>
              <a:tailEnd type="none" w="med" len="med"/>
            </a14:hiddenLine>
          </a:ext>
        </a:extLst>
      </xdr:spPr>
    </xdr:sp>
    <xdr:clientData/>
  </xdr:twoCellAnchor>
  <xdr:twoCellAnchor>
    <xdr:from>
      <xdr:col>0</xdr:col>
      <xdr:colOff>152400</xdr:colOff>
      <xdr:row>88</xdr:row>
      <xdr:rowOff>38100</xdr:rowOff>
    </xdr:from>
    <xdr:to>
      <xdr:col>1</xdr:col>
      <xdr:colOff>180975</xdr:colOff>
      <xdr:row>89</xdr:row>
      <xdr:rowOff>38100</xdr:rowOff>
    </xdr:to>
    <xdr:sp macro="" textlink="">
      <xdr:nvSpPr>
        <xdr:cNvPr id="312709" name="Freeform 67"/>
        <xdr:cNvSpPr>
          <a:spLocks noChangeAspect="1"/>
        </xdr:cNvSpPr>
      </xdr:nvSpPr>
      <xdr:spPr bwMode="auto">
        <a:xfrm rot="10800000" flipH="1">
          <a:off x="152400" y="22517100"/>
          <a:ext cx="209550" cy="180975"/>
        </a:xfrm>
        <a:custGeom>
          <a:avLst/>
          <a:gdLst>
            <a:gd name="T0" fmla="*/ 0 w 44"/>
            <a:gd name="T1" fmla="*/ 2147483647 h 46"/>
            <a:gd name="T2" fmla="*/ 0 w 44"/>
            <a:gd name="T3" fmla="*/ 0 h 46"/>
            <a:gd name="T4" fmla="*/ 2147483647 w 44"/>
            <a:gd name="T5" fmla="*/ 0 h 46"/>
            <a:gd name="T6" fmla="*/ 2147483647 w 44"/>
            <a:gd name="T7" fmla="*/ 2147483647 h 46"/>
            <a:gd name="T8" fmla="*/ 2147483647 w 44"/>
            <a:gd name="T9" fmla="*/ 2147483647 h 46"/>
            <a:gd name="T10" fmla="*/ 2147483647 w 44"/>
            <a:gd name="T11" fmla="*/ 2147483647 h 46"/>
            <a:gd name="T12" fmla="*/ 2147483647 w 44"/>
            <a:gd name="T13" fmla="*/ 2147483647 h 46"/>
            <a:gd name="T14" fmla="*/ 2147483647 w 44"/>
            <a:gd name="T15" fmla="*/ 2147483647 h 46"/>
            <a:gd name="T16" fmla="*/ 2147483647 w 44"/>
            <a:gd name="T17" fmla="*/ 2147483647 h 46"/>
            <a:gd name="T18" fmla="*/ 2147483647 w 44"/>
            <a:gd name="T19" fmla="*/ 2147483647 h 4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4"/>
            <a:gd name="T31" fmla="*/ 0 h 46"/>
            <a:gd name="T32" fmla="*/ 44 w 44"/>
            <a:gd name="T33" fmla="*/ 46 h 4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4" h="46">
              <a:moveTo>
                <a:pt x="0" y="45"/>
              </a:moveTo>
              <a:lnTo>
                <a:pt x="0" y="0"/>
              </a:lnTo>
              <a:lnTo>
                <a:pt x="44" y="0"/>
              </a:lnTo>
              <a:lnTo>
                <a:pt x="43" y="6"/>
              </a:lnTo>
              <a:lnTo>
                <a:pt x="29" y="8"/>
              </a:lnTo>
              <a:lnTo>
                <a:pt x="17" y="15"/>
              </a:lnTo>
              <a:lnTo>
                <a:pt x="11" y="22"/>
              </a:lnTo>
              <a:lnTo>
                <a:pt x="6" y="32"/>
              </a:lnTo>
              <a:lnTo>
                <a:pt x="5" y="39"/>
              </a:lnTo>
              <a:lnTo>
                <a:pt x="4" y="46"/>
              </a:lnTo>
            </a:path>
          </a:pathLst>
        </a:custGeom>
        <a:solidFill>
          <a:srgbClr val="FFFFFF"/>
        </a:solidFill>
        <a:ln>
          <a:noFill/>
        </a:ln>
        <a:extLst>
          <a:ext uri="{91240B29-F687-4F45-9708-019B960494DF}">
            <a14:hiddenLine xmlns:a14="http://schemas.microsoft.com/office/drawing/2010/main" w="9525" cap="flat" cmpd="sng">
              <a:solidFill>
                <a:srgbClr val="000000"/>
              </a:solidFill>
              <a:prstDash val="solid"/>
              <a:round/>
              <a:headEnd type="none" w="med" len="med"/>
              <a:tailEnd type="none" w="med" len="med"/>
            </a14:hiddenLine>
          </a:ext>
        </a:extLst>
      </xdr:spPr>
    </xdr:sp>
    <xdr:clientData/>
  </xdr:twoCellAnchor>
  <xdr:twoCellAnchor editAs="oneCell">
    <xdr:from>
      <xdr:col>1</xdr:col>
      <xdr:colOff>123825</xdr:colOff>
      <xdr:row>120</xdr:row>
      <xdr:rowOff>200025</xdr:rowOff>
    </xdr:from>
    <xdr:to>
      <xdr:col>5</xdr:col>
      <xdr:colOff>114300</xdr:colOff>
      <xdr:row>121</xdr:row>
      <xdr:rowOff>38100</xdr:rowOff>
    </xdr:to>
    <xdr:pic>
      <xdr:nvPicPr>
        <xdr:cNvPr id="312710" name="Picture 68" descr="PPEE"/>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04800" y="33842325"/>
          <a:ext cx="10096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104775</xdr:colOff>
      <xdr:row>120</xdr:row>
      <xdr:rowOff>95250</xdr:rowOff>
    </xdr:from>
    <xdr:to>
      <xdr:col>9</xdr:col>
      <xdr:colOff>123825</xdr:colOff>
      <xdr:row>121</xdr:row>
      <xdr:rowOff>95250</xdr:rowOff>
    </xdr:to>
    <xdr:pic>
      <xdr:nvPicPr>
        <xdr:cNvPr id="312711" name="Picture 69" descr="Minvu"/>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743075" y="33737550"/>
          <a:ext cx="457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66675</xdr:colOff>
      <xdr:row>120</xdr:row>
      <xdr:rowOff>542925</xdr:rowOff>
    </xdr:from>
    <xdr:to>
      <xdr:col>32</xdr:col>
      <xdr:colOff>28575</xdr:colOff>
      <xdr:row>122</xdr:row>
      <xdr:rowOff>9525</xdr:rowOff>
    </xdr:to>
    <xdr:sp macro="" textlink="">
      <xdr:nvSpPr>
        <xdr:cNvPr id="312712" name="Freeform 70"/>
        <xdr:cNvSpPr>
          <a:spLocks noChangeAspect="1"/>
        </xdr:cNvSpPr>
      </xdr:nvSpPr>
      <xdr:spPr bwMode="auto">
        <a:xfrm rot="5400000" flipH="1">
          <a:off x="7091363" y="34132837"/>
          <a:ext cx="190500" cy="180975"/>
        </a:xfrm>
        <a:custGeom>
          <a:avLst/>
          <a:gdLst>
            <a:gd name="T0" fmla="*/ 0 w 44"/>
            <a:gd name="T1" fmla="*/ 2147483647 h 46"/>
            <a:gd name="T2" fmla="*/ 0 w 44"/>
            <a:gd name="T3" fmla="*/ 0 h 46"/>
            <a:gd name="T4" fmla="*/ 2147483647 w 44"/>
            <a:gd name="T5" fmla="*/ 0 h 46"/>
            <a:gd name="T6" fmla="*/ 2147483647 w 44"/>
            <a:gd name="T7" fmla="*/ 2147483647 h 46"/>
            <a:gd name="T8" fmla="*/ 2147483647 w 44"/>
            <a:gd name="T9" fmla="*/ 2147483647 h 46"/>
            <a:gd name="T10" fmla="*/ 2147483647 w 44"/>
            <a:gd name="T11" fmla="*/ 2147483647 h 46"/>
            <a:gd name="T12" fmla="*/ 2147483647 w 44"/>
            <a:gd name="T13" fmla="*/ 2147483647 h 46"/>
            <a:gd name="T14" fmla="*/ 2147483647 w 44"/>
            <a:gd name="T15" fmla="*/ 2147483647 h 46"/>
            <a:gd name="T16" fmla="*/ 2147483647 w 44"/>
            <a:gd name="T17" fmla="*/ 2147483647 h 46"/>
            <a:gd name="T18" fmla="*/ 2147483647 w 44"/>
            <a:gd name="T19" fmla="*/ 2147483647 h 4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4"/>
            <a:gd name="T31" fmla="*/ 0 h 46"/>
            <a:gd name="T32" fmla="*/ 44 w 44"/>
            <a:gd name="T33" fmla="*/ 46 h 4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4" h="46">
              <a:moveTo>
                <a:pt x="0" y="45"/>
              </a:moveTo>
              <a:lnTo>
                <a:pt x="0" y="0"/>
              </a:lnTo>
              <a:lnTo>
                <a:pt x="44" y="0"/>
              </a:lnTo>
              <a:lnTo>
                <a:pt x="43" y="6"/>
              </a:lnTo>
              <a:lnTo>
                <a:pt x="29" y="8"/>
              </a:lnTo>
              <a:lnTo>
                <a:pt x="17" y="15"/>
              </a:lnTo>
              <a:lnTo>
                <a:pt x="11" y="22"/>
              </a:lnTo>
              <a:lnTo>
                <a:pt x="6" y="32"/>
              </a:lnTo>
              <a:lnTo>
                <a:pt x="5" y="39"/>
              </a:lnTo>
              <a:lnTo>
                <a:pt x="4" y="46"/>
              </a:lnTo>
            </a:path>
          </a:pathLst>
        </a:custGeom>
        <a:solidFill>
          <a:srgbClr val="FFFFFF"/>
        </a:solidFill>
        <a:ln>
          <a:noFill/>
        </a:ln>
        <a:extLst>
          <a:ext uri="{91240B29-F687-4F45-9708-019B960494DF}">
            <a14:hiddenLine xmlns:a14="http://schemas.microsoft.com/office/drawing/2010/main" w="9525" cap="flat" cmpd="sng">
              <a:solidFill>
                <a:srgbClr val="000000"/>
              </a:solidFill>
              <a:prstDash val="solid"/>
              <a:round/>
              <a:headEnd type="none" w="med" len="med"/>
              <a:tailEnd type="none" w="med" len="med"/>
            </a14:hiddenLine>
          </a:ext>
        </a:extLst>
      </xdr:spPr>
    </xdr:sp>
    <xdr:clientData/>
  </xdr:twoCellAnchor>
  <xdr:twoCellAnchor>
    <xdr:from>
      <xdr:col>0</xdr:col>
      <xdr:colOff>152400</xdr:colOff>
      <xdr:row>121</xdr:row>
      <xdr:rowOff>38100</xdr:rowOff>
    </xdr:from>
    <xdr:to>
      <xdr:col>1</xdr:col>
      <xdr:colOff>180975</xdr:colOff>
      <xdr:row>122</xdr:row>
      <xdr:rowOff>38100</xdr:rowOff>
    </xdr:to>
    <xdr:sp macro="" textlink="">
      <xdr:nvSpPr>
        <xdr:cNvPr id="312713" name="Freeform 71"/>
        <xdr:cNvSpPr>
          <a:spLocks noChangeAspect="1"/>
        </xdr:cNvSpPr>
      </xdr:nvSpPr>
      <xdr:spPr bwMode="auto">
        <a:xfrm rot="10800000" flipH="1">
          <a:off x="152400" y="34166175"/>
          <a:ext cx="209550" cy="180975"/>
        </a:xfrm>
        <a:custGeom>
          <a:avLst/>
          <a:gdLst>
            <a:gd name="T0" fmla="*/ 0 w 44"/>
            <a:gd name="T1" fmla="*/ 2147483647 h 46"/>
            <a:gd name="T2" fmla="*/ 0 w 44"/>
            <a:gd name="T3" fmla="*/ 0 h 46"/>
            <a:gd name="T4" fmla="*/ 2147483647 w 44"/>
            <a:gd name="T5" fmla="*/ 0 h 46"/>
            <a:gd name="T6" fmla="*/ 2147483647 w 44"/>
            <a:gd name="T7" fmla="*/ 2147483647 h 46"/>
            <a:gd name="T8" fmla="*/ 2147483647 w 44"/>
            <a:gd name="T9" fmla="*/ 2147483647 h 46"/>
            <a:gd name="T10" fmla="*/ 2147483647 w 44"/>
            <a:gd name="T11" fmla="*/ 2147483647 h 46"/>
            <a:gd name="T12" fmla="*/ 2147483647 w 44"/>
            <a:gd name="T13" fmla="*/ 2147483647 h 46"/>
            <a:gd name="T14" fmla="*/ 2147483647 w 44"/>
            <a:gd name="T15" fmla="*/ 2147483647 h 46"/>
            <a:gd name="T16" fmla="*/ 2147483647 w 44"/>
            <a:gd name="T17" fmla="*/ 2147483647 h 46"/>
            <a:gd name="T18" fmla="*/ 2147483647 w 44"/>
            <a:gd name="T19" fmla="*/ 2147483647 h 4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4"/>
            <a:gd name="T31" fmla="*/ 0 h 46"/>
            <a:gd name="T32" fmla="*/ 44 w 44"/>
            <a:gd name="T33" fmla="*/ 46 h 4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4" h="46">
              <a:moveTo>
                <a:pt x="0" y="45"/>
              </a:moveTo>
              <a:lnTo>
                <a:pt x="0" y="0"/>
              </a:lnTo>
              <a:lnTo>
                <a:pt x="44" y="0"/>
              </a:lnTo>
              <a:lnTo>
                <a:pt x="43" y="6"/>
              </a:lnTo>
              <a:lnTo>
                <a:pt x="29" y="8"/>
              </a:lnTo>
              <a:lnTo>
                <a:pt x="17" y="15"/>
              </a:lnTo>
              <a:lnTo>
                <a:pt x="11" y="22"/>
              </a:lnTo>
              <a:lnTo>
                <a:pt x="6" y="32"/>
              </a:lnTo>
              <a:lnTo>
                <a:pt x="5" y="39"/>
              </a:lnTo>
              <a:lnTo>
                <a:pt x="4" y="46"/>
              </a:lnTo>
            </a:path>
          </a:pathLst>
        </a:custGeom>
        <a:solidFill>
          <a:srgbClr val="FFFFFF"/>
        </a:solidFill>
        <a:ln>
          <a:noFill/>
        </a:ln>
        <a:extLst>
          <a:ext uri="{91240B29-F687-4F45-9708-019B960494DF}">
            <a14:hiddenLine xmlns:a14="http://schemas.microsoft.com/office/drawing/2010/main" w="9525" cap="flat" cmpd="sng">
              <a:solidFill>
                <a:srgbClr val="000000"/>
              </a:solidFill>
              <a:prstDash val="solid"/>
              <a:round/>
              <a:headEnd type="none" w="med" len="med"/>
              <a:tailEnd type="none" w="med" len="med"/>
            </a14:hiddenLine>
          </a:ext>
        </a:extLst>
      </xdr:spPr>
    </xdr:sp>
    <xdr:clientData/>
  </xdr:twoCellAnchor>
  <xdr:twoCellAnchor editAs="oneCell">
    <xdr:from>
      <xdr:col>31</xdr:col>
      <xdr:colOff>38100</xdr:colOff>
      <xdr:row>89</xdr:row>
      <xdr:rowOff>1085850</xdr:rowOff>
    </xdr:from>
    <xdr:to>
      <xdr:col>32</xdr:col>
      <xdr:colOff>28575</xdr:colOff>
      <xdr:row>91</xdr:row>
      <xdr:rowOff>19050</xdr:rowOff>
    </xdr:to>
    <xdr:sp macro="" textlink="">
      <xdr:nvSpPr>
        <xdr:cNvPr id="312714" name="Freeform 73"/>
        <xdr:cNvSpPr>
          <a:spLocks noChangeAspect="1"/>
        </xdr:cNvSpPr>
      </xdr:nvSpPr>
      <xdr:spPr bwMode="auto">
        <a:xfrm flipH="1">
          <a:off x="7067550" y="23745825"/>
          <a:ext cx="209550" cy="228600"/>
        </a:xfrm>
        <a:custGeom>
          <a:avLst/>
          <a:gdLst>
            <a:gd name="T0" fmla="*/ 0 w 44"/>
            <a:gd name="T1" fmla="*/ 2147483647 h 46"/>
            <a:gd name="T2" fmla="*/ 0 w 44"/>
            <a:gd name="T3" fmla="*/ 0 h 46"/>
            <a:gd name="T4" fmla="*/ 2147483647 w 44"/>
            <a:gd name="T5" fmla="*/ 0 h 46"/>
            <a:gd name="T6" fmla="*/ 2147483647 w 44"/>
            <a:gd name="T7" fmla="*/ 2147483647 h 46"/>
            <a:gd name="T8" fmla="*/ 2147483647 w 44"/>
            <a:gd name="T9" fmla="*/ 2147483647 h 46"/>
            <a:gd name="T10" fmla="*/ 2147483647 w 44"/>
            <a:gd name="T11" fmla="*/ 2147483647 h 46"/>
            <a:gd name="T12" fmla="*/ 2147483647 w 44"/>
            <a:gd name="T13" fmla="*/ 2147483647 h 46"/>
            <a:gd name="T14" fmla="*/ 2147483647 w 44"/>
            <a:gd name="T15" fmla="*/ 2147483647 h 46"/>
            <a:gd name="T16" fmla="*/ 2147483647 w 44"/>
            <a:gd name="T17" fmla="*/ 2147483647 h 46"/>
            <a:gd name="T18" fmla="*/ 2147483647 w 44"/>
            <a:gd name="T19" fmla="*/ 2147483647 h 4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4"/>
            <a:gd name="T31" fmla="*/ 0 h 46"/>
            <a:gd name="T32" fmla="*/ 44 w 44"/>
            <a:gd name="T33" fmla="*/ 46 h 4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4" h="46">
              <a:moveTo>
                <a:pt x="0" y="45"/>
              </a:moveTo>
              <a:lnTo>
                <a:pt x="0" y="0"/>
              </a:lnTo>
              <a:lnTo>
                <a:pt x="44" y="0"/>
              </a:lnTo>
              <a:lnTo>
                <a:pt x="43" y="6"/>
              </a:lnTo>
              <a:lnTo>
                <a:pt x="29" y="8"/>
              </a:lnTo>
              <a:lnTo>
                <a:pt x="17" y="15"/>
              </a:lnTo>
              <a:lnTo>
                <a:pt x="11" y="22"/>
              </a:lnTo>
              <a:lnTo>
                <a:pt x="6" y="32"/>
              </a:lnTo>
              <a:lnTo>
                <a:pt x="5" y="39"/>
              </a:lnTo>
              <a:lnTo>
                <a:pt x="4" y="46"/>
              </a:lnTo>
            </a:path>
          </a:pathLst>
        </a:custGeom>
        <a:solidFill>
          <a:srgbClr val="FFFFFF"/>
        </a:solidFill>
        <a:ln>
          <a:noFill/>
        </a:ln>
        <a:extLst>
          <a:ext uri="{91240B29-F687-4F45-9708-019B960494DF}">
            <a14:hiddenLine xmlns:a14="http://schemas.microsoft.com/office/drawing/2010/main" w="9525" cap="flat" cmpd="sng">
              <a:solidFill>
                <a:srgbClr val="000000"/>
              </a:solidFill>
              <a:prstDash val="solid"/>
              <a:round/>
              <a:headEnd type="none" w="med" len="med"/>
              <a:tailEnd type="none" w="med" len="med"/>
            </a14:hiddenLine>
          </a:ext>
        </a:extLst>
      </xdr:spPr>
    </xdr:sp>
    <xdr:clientData/>
  </xdr:twoCellAnchor>
  <xdr:twoCellAnchor>
    <xdr:from>
      <xdr:col>25</xdr:col>
      <xdr:colOff>85725</xdr:colOff>
      <xdr:row>32</xdr:row>
      <xdr:rowOff>57150</xdr:rowOff>
    </xdr:from>
    <xdr:to>
      <xdr:col>32</xdr:col>
      <xdr:colOff>142875</xdr:colOff>
      <xdr:row>38</xdr:row>
      <xdr:rowOff>142875</xdr:rowOff>
    </xdr:to>
    <xdr:graphicFrame macro="">
      <xdr:nvGraphicFramePr>
        <xdr:cNvPr id="31271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266700</xdr:colOff>
      <xdr:row>66</xdr:row>
      <xdr:rowOff>175260</xdr:rowOff>
    </xdr:from>
    <xdr:to>
      <xdr:col>2</xdr:col>
      <xdr:colOff>470535</xdr:colOff>
      <xdr:row>80</xdr:row>
      <xdr:rowOff>44505</xdr:rowOff>
    </xdr:to>
    <xdr:pic>
      <xdr:nvPicPr>
        <xdr:cNvPr id="4"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66700" y="13711746"/>
          <a:ext cx="2200929" cy="2567566"/>
        </a:xfrm>
        <a:prstGeom prst="rect">
          <a:avLst/>
        </a:prstGeom>
        <a:noFill/>
      </xdr:spPr>
    </xdr:pic>
    <xdr:clientData/>
  </xdr:twoCellAnchor>
  <xdr:twoCellAnchor editAs="oneCell">
    <xdr:from>
      <xdr:col>21</xdr:col>
      <xdr:colOff>457200</xdr:colOff>
      <xdr:row>67</xdr:row>
      <xdr:rowOff>7620</xdr:rowOff>
    </xdr:from>
    <xdr:to>
      <xdr:col>30</xdr:col>
      <xdr:colOff>144780</xdr:colOff>
      <xdr:row>78</xdr:row>
      <xdr:rowOff>9824</xdr:rowOff>
    </xdr:to>
    <xdr:pic>
      <xdr:nvPicPr>
        <xdr:cNvPr id="8" name="7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29323" y="13779718"/>
          <a:ext cx="6957901" cy="2083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0</xdr:colOff>
      <xdr:row>89</xdr:row>
      <xdr:rowOff>0</xdr:rowOff>
    </xdr:from>
    <xdr:to>
      <xdr:col>30</xdr:col>
      <xdr:colOff>312420</xdr:colOff>
      <xdr:row>99</xdr:row>
      <xdr:rowOff>123194</xdr:rowOff>
    </xdr:to>
    <xdr:pic>
      <xdr:nvPicPr>
        <xdr:cNvPr id="10" name="9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879936" y="17957021"/>
          <a:ext cx="6774928" cy="2047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342900</xdr:colOff>
      <xdr:row>0</xdr:row>
      <xdr:rowOff>137160</xdr:rowOff>
    </xdr:from>
    <xdr:to>
      <xdr:col>11</xdr:col>
      <xdr:colOff>60960</xdr:colOff>
      <xdr:row>3</xdr:row>
      <xdr:rowOff>7620</xdr:rowOff>
    </xdr:to>
    <xdr:sp macro="" textlink="">
      <xdr:nvSpPr>
        <xdr:cNvPr id="12" name="11 CuadroTexto"/>
        <xdr:cNvSpPr txBox="1"/>
      </xdr:nvSpPr>
      <xdr:spPr>
        <a:xfrm>
          <a:off x="342900" y="1618151"/>
          <a:ext cx="7728877" cy="4258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1400"/>
            <a:t>FAV = FAV1 * FAV2 * FAV3</a:t>
          </a:r>
        </a:p>
      </xdr:txBody>
    </xdr:sp>
    <xdr:clientData/>
  </xdr:twoCellAnchor>
  <xdr:twoCellAnchor editAs="oneCell">
    <xdr:from>
      <xdr:col>12</xdr:col>
      <xdr:colOff>213360</xdr:colOff>
      <xdr:row>110</xdr:row>
      <xdr:rowOff>60961</xdr:rowOff>
    </xdr:from>
    <xdr:to>
      <xdr:col>20</xdr:col>
      <xdr:colOff>2491</xdr:colOff>
      <xdr:row>131</xdr:row>
      <xdr:rowOff>172291</xdr:rowOff>
    </xdr:to>
    <xdr:pic>
      <xdr:nvPicPr>
        <xdr:cNvPr id="13" name="12 Imagen" descr="Recorte de pantalla"/>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031991" y="22012171"/>
          <a:ext cx="6179471" cy="4043809"/>
        </a:xfrm>
        <a:prstGeom prst="rect">
          <a:avLst/>
        </a:prstGeom>
      </xdr:spPr>
    </xdr:pic>
    <xdr:clientData/>
  </xdr:twoCellAnchor>
  <xdr:twoCellAnchor editAs="oneCell">
    <xdr:from>
      <xdr:col>2</xdr:col>
      <xdr:colOff>243840</xdr:colOff>
      <xdr:row>135</xdr:row>
      <xdr:rowOff>91440</xdr:rowOff>
    </xdr:from>
    <xdr:to>
      <xdr:col>6</xdr:col>
      <xdr:colOff>15240</xdr:colOff>
      <xdr:row>146</xdr:row>
      <xdr:rowOff>15875</xdr:rowOff>
    </xdr:to>
    <xdr:pic>
      <xdr:nvPicPr>
        <xdr:cNvPr id="14" name="13 Imagen"/>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bwMode="auto">
        <a:xfrm>
          <a:off x="2240934" y="26726846"/>
          <a:ext cx="2671675" cy="1966408"/>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161290</xdr:colOff>
      <xdr:row>112</xdr:row>
      <xdr:rowOff>106680</xdr:rowOff>
    </xdr:from>
    <xdr:to>
      <xdr:col>10</xdr:col>
      <xdr:colOff>603250</xdr:colOff>
      <xdr:row>122</xdr:row>
      <xdr:rowOff>15240</xdr:rowOff>
    </xdr:to>
    <xdr:sp macro="" textlink="">
      <xdr:nvSpPr>
        <xdr:cNvPr id="15" name="14 CuadroTexto"/>
        <xdr:cNvSpPr txBox="1"/>
      </xdr:nvSpPr>
      <xdr:spPr>
        <a:xfrm>
          <a:off x="4384040" y="21087080"/>
          <a:ext cx="3121660" cy="1750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s-CL" sz="1100"/>
            <a:t> -  Las tablas son válidas para L/D entre 0.8 a 1.3. </a:t>
          </a:r>
        </a:p>
        <a:p>
          <a:r>
            <a:rPr lang="es-CL" sz="1100">
              <a:solidFill>
                <a:srgbClr val="FF0000"/>
              </a:solidFill>
            </a:rPr>
            <a:t> </a:t>
          </a:r>
          <a:r>
            <a:rPr lang="es-CL" sz="1100">
              <a:solidFill>
                <a:sysClr val="windowText" lastClr="000000"/>
              </a:solidFill>
            </a:rPr>
            <a:t>-  Si L/D &gt;</a:t>
          </a:r>
          <a:r>
            <a:rPr lang="es-CL" sz="1100" baseline="0">
              <a:solidFill>
                <a:sysClr val="windowText" lastClr="000000"/>
              </a:solidFill>
            </a:rPr>
            <a:t> </a:t>
          </a:r>
          <a:r>
            <a:rPr lang="es-CL" sz="1100">
              <a:solidFill>
                <a:sysClr val="windowText" lastClr="000000"/>
              </a:solidFill>
            </a:rPr>
            <a:t>1.3, multiplicar los valores de la por 0.75. </a:t>
          </a:r>
        </a:p>
        <a:p>
          <a:r>
            <a:rPr lang="es-CL" sz="1100">
              <a:solidFill>
                <a:sysClr val="windowText" lastClr="000000"/>
              </a:solidFill>
            </a:rPr>
            <a:t> -  Si L/D &lt; 0.8, multiplicar los valores por 1.15 </a:t>
          </a:r>
          <a:r>
            <a:rPr lang="es-CL" sz="1100"/>
            <a:t>. </a:t>
          </a:r>
        </a:p>
        <a:p>
          <a:r>
            <a:rPr lang="es-CL" sz="1100"/>
            <a:t>-   Se debe interpolar linealmente para los ángulos intermedio entre 0 y 60 grados. </a:t>
          </a:r>
        </a:p>
        <a:p>
          <a:r>
            <a:rPr lang="es-CL" sz="1100"/>
            <a:t>-   Para ángulos entre 60 y 75 multiplicar los valores por 0.7</a:t>
          </a:r>
        </a:p>
        <a:p>
          <a:r>
            <a:rPr lang="es-CL" sz="1100"/>
            <a:t> -  Para ángulos mayores a 75 grados usar un valor 1.     </a:t>
          </a:r>
        </a:p>
        <a:p>
          <a:endParaRPr lang="es-CL" sz="1100"/>
        </a:p>
      </xdr:txBody>
    </xdr:sp>
    <xdr:clientData/>
  </xdr:twoCellAnchor>
  <xdr:twoCellAnchor editAs="oneCell">
    <xdr:from>
      <xdr:col>0</xdr:col>
      <xdr:colOff>243840</xdr:colOff>
      <xdr:row>148</xdr:row>
      <xdr:rowOff>152400</xdr:rowOff>
    </xdr:from>
    <xdr:to>
      <xdr:col>5</xdr:col>
      <xdr:colOff>15240</xdr:colOff>
      <xdr:row>162</xdr:row>
      <xdr:rowOff>83185</xdr:rowOff>
    </xdr:to>
    <xdr:pic>
      <xdr:nvPicPr>
        <xdr:cNvPr id="16" name="0 Imagen"/>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43840" y="29211247"/>
          <a:ext cx="4180715" cy="2522520"/>
        </a:xfrm>
        <a:prstGeom prst="rect">
          <a:avLst/>
        </a:prstGeom>
      </xdr:spPr>
    </xdr:pic>
    <xdr:clientData/>
  </xdr:twoCellAnchor>
  <xdr:twoCellAnchor>
    <xdr:from>
      <xdr:col>5</xdr:col>
      <xdr:colOff>312420</xdr:colOff>
      <xdr:row>150</xdr:row>
      <xdr:rowOff>7620</xdr:rowOff>
    </xdr:from>
    <xdr:to>
      <xdr:col>10</xdr:col>
      <xdr:colOff>76200</xdr:colOff>
      <xdr:row>162</xdr:row>
      <xdr:rowOff>107950</xdr:rowOff>
    </xdr:to>
    <xdr:sp macro="" textlink="">
      <xdr:nvSpPr>
        <xdr:cNvPr id="17" name="16 CuadroTexto"/>
        <xdr:cNvSpPr txBox="1"/>
      </xdr:nvSpPr>
      <xdr:spPr>
        <a:xfrm>
          <a:off x="4535170" y="28023820"/>
          <a:ext cx="2443480" cy="2310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aseline="0"/>
            <a:t> - P</a:t>
          </a:r>
          <a:r>
            <a:rPr lang="es-CL" sz="1100"/>
            <a:t>ara los valores dentro del rango de la tabla tomar el valor mas cercano  </a:t>
          </a:r>
        </a:p>
        <a:p>
          <a:endParaRPr lang="es-CL" sz="1100"/>
        </a:p>
        <a:p>
          <a:r>
            <a:rPr lang="es-CL" sz="1100"/>
            <a:t> - Para valores fuera del rango de la tabla  extrapolar linealmente con los valores extremos y para el valor mas cercano de la otra variable que esta dentro de rango. </a:t>
          </a:r>
        </a:p>
        <a:p>
          <a:r>
            <a:rPr lang="es-CL" sz="1100" baseline="0"/>
            <a:t> - Si Y/Z y X/Z sin los dos menores a 0.1 usar un valor de 0.4</a:t>
          </a:r>
        </a:p>
        <a:p>
          <a:r>
            <a:rPr lang="es-CL" sz="1100" baseline="0"/>
            <a:t>- Si y/Z y X/Z esta en ambos sobre 10, usar un valor de 0.9 para el factor de sombra.</a:t>
          </a:r>
          <a:endParaRPr lang="es-CL" sz="1100"/>
        </a:p>
      </xdr:txBody>
    </xdr:sp>
    <xdr:clientData/>
  </xdr:twoCellAnchor>
  <xdr:twoCellAnchor>
    <xdr:from>
      <xdr:col>2</xdr:col>
      <xdr:colOff>731520</xdr:colOff>
      <xdr:row>30</xdr:row>
      <xdr:rowOff>15240</xdr:rowOff>
    </xdr:from>
    <xdr:to>
      <xdr:col>6</xdr:col>
      <xdr:colOff>76200</xdr:colOff>
      <xdr:row>34</xdr:row>
      <xdr:rowOff>137160</xdr:rowOff>
    </xdr:to>
    <xdr:sp macro="" textlink="">
      <xdr:nvSpPr>
        <xdr:cNvPr id="18" name="17 CuadroTexto"/>
        <xdr:cNvSpPr txBox="1"/>
      </xdr:nvSpPr>
      <xdr:spPr>
        <a:xfrm>
          <a:off x="2728614" y="7246293"/>
          <a:ext cx="2244955" cy="8624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t>Para este caso se modifica la definición del</a:t>
          </a:r>
          <a:r>
            <a:rPr lang="es-CL" sz="1100" baseline="0"/>
            <a:t> D (o S) y L (o P), como se muestra en la figura.</a:t>
          </a:r>
          <a:endParaRPr lang="es-CL" sz="1100"/>
        </a:p>
      </xdr:txBody>
    </xdr:sp>
    <xdr:clientData/>
  </xdr:twoCellAnchor>
  <xdr:twoCellAnchor>
    <xdr:from>
      <xdr:col>2</xdr:col>
      <xdr:colOff>697616</xdr:colOff>
      <xdr:row>41</xdr:row>
      <xdr:rowOff>47046</xdr:rowOff>
    </xdr:from>
    <xdr:to>
      <xdr:col>8</xdr:col>
      <xdr:colOff>226390</xdr:colOff>
      <xdr:row>49</xdr:row>
      <xdr:rowOff>1</xdr:rowOff>
    </xdr:to>
    <xdr:sp macro="" textlink="">
      <xdr:nvSpPr>
        <xdr:cNvPr id="19" name="18 CuadroTexto"/>
        <xdr:cNvSpPr txBox="1"/>
      </xdr:nvSpPr>
      <xdr:spPr>
        <a:xfrm>
          <a:off x="2608138" y="7639437"/>
          <a:ext cx="3487861" cy="14106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t>Se calculan 2 valores. </a:t>
          </a:r>
        </a:p>
        <a:p>
          <a:r>
            <a:rPr lang="es-CL" sz="1100"/>
            <a:t>- </a:t>
          </a:r>
          <a:r>
            <a:rPr lang="es-CL" sz="1100" baseline="0"/>
            <a:t>  </a:t>
          </a:r>
          <a:r>
            <a:rPr lang="es-CL" sz="1100"/>
            <a:t>Para el área A1 se calcula con la correspondiente al segmento de ventana y con D=0 (o S=0)</a:t>
          </a:r>
        </a:p>
        <a:p>
          <a:r>
            <a:rPr lang="es-CL" sz="1100"/>
            <a:t> -  Para el área A2 se usa un valor de F=0</a:t>
          </a:r>
        </a:p>
        <a:p>
          <a:endParaRPr lang="es-CL" sz="1100"/>
        </a:p>
        <a:p>
          <a:r>
            <a:rPr lang="es-CL" sz="1100"/>
            <a:t> -  El valor final será el promedio ponderado por las áreas de cada segmento. </a:t>
          </a:r>
        </a:p>
      </xdr:txBody>
    </xdr:sp>
    <xdr:clientData/>
  </xdr:twoCellAnchor>
  <xdr:twoCellAnchor editAs="oneCell">
    <xdr:from>
      <xdr:col>0</xdr:col>
      <xdr:colOff>45721</xdr:colOff>
      <xdr:row>27</xdr:row>
      <xdr:rowOff>144780</xdr:rowOff>
    </xdr:from>
    <xdr:to>
      <xdr:col>2</xdr:col>
      <xdr:colOff>545455</xdr:colOff>
      <xdr:row>38</xdr:row>
      <xdr:rowOff>28576</xdr:rowOff>
    </xdr:to>
    <xdr:pic>
      <xdr:nvPicPr>
        <xdr:cNvPr id="20" name="19 Imagen"/>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a:ext>
          </a:extLst>
        </a:blip>
        <a:stretch>
          <a:fillRect/>
        </a:stretch>
      </xdr:blipFill>
      <xdr:spPr>
        <a:xfrm>
          <a:off x="45721" y="5186128"/>
          <a:ext cx="2410256" cy="1888187"/>
        </a:xfrm>
        <a:prstGeom prst="rect">
          <a:avLst/>
        </a:prstGeom>
      </xdr:spPr>
    </xdr:pic>
    <xdr:clientData/>
  </xdr:twoCellAnchor>
  <xdr:twoCellAnchor editAs="oneCell">
    <xdr:from>
      <xdr:col>0</xdr:col>
      <xdr:colOff>0</xdr:colOff>
      <xdr:row>41</xdr:row>
      <xdr:rowOff>0</xdr:rowOff>
    </xdr:from>
    <xdr:to>
      <xdr:col>2</xdr:col>
      <xdr:colOff>355525</xdr:colOff>
      <xdr:row>50</xdr:row>
      <xdr:rowOff>45720</xdr:rowOff>
    </xdr:to>
    <xdr:pic>
      <xdr:nvPicPr>
        <xdr:cNvPr id="21" name="20 Imagen"/>
        <xdr:cNvPicPr>
          <a:picLocks noChangeAspect="1"/>
        </xdr:cNvPicPr>
      </xdr:nvPicPr>
      <xdr:blipFill>
        <a:blip xmlns:r="http://schemas.openxmlformats.org/officeDocument/2006/relationships" r:embed="rId8"/>
        <a:stretch>
          <a:fillRect/>
        </a:stretch>
      </xdr:blipFill>
      <xdr:spPr>
        <a:xfrm>
          <a:off x="0" y="9087902"/>
          <a:ext cx="2352619" cy="1711835"/>
        </a:xfrm>
        <a:prstGeom prst="rect">
          <a:avLst/>
        </a:prstGeom>
      </xdr:spPr>
    </xdr:pic>
    <xdr:clientData/>
  </xdr:twoCellAnchor>
  <xdr:twoCellAnchor>
    <xdr:from>
      <xdr:col>3</xdr:col>
      <xdr:colOff>0</xdr:colOff>
      <xdr:row>56</xdr:row>
      <xdr:rowOff>0</xdr:rowOff>
    </xdr:from>
    <xdr:to>
      <xdr:col>6</xdr:col>
      <xdr:colOff>281940</xdr:colOff>
      <xdr:row>60</xdr:row>
      <xdr:rowOff>121920</xdr:rowOff>
    </xdr:to>
    <xdr:sp macro="" textlink="">
      <xdr:nvSpPr>
        <xdr:cNvPr id="23" name="22 CuadroTexto"/>
        <xdr:cNvSpPr txBox="1"/>
      </xdr:nvSpPr>
      <xdr:spPr>
        <a:xfrm>
          <a:off x="2995642" y="11685247"/>
          <a:ext cx="2183667" cy="8624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t>Para este caso se modifica la definición del</a:t>
          </a:r>
          <a:r>
            <a:rPr lang="es-CL" sz="1100" baseline="0"/>
            <a:t> D (o S) y L (o P), como se muestra en la figura.</a:t>
          </a:r>
          <a:endParaRPr lang="es-CL" sz="1100"/>
        </a:p>
      </xdr:txBody>
    </xdr:sp>
    <xdr:clientData/>
  </xdr:twoCellAnchor>
  <xdr:twoCellAnchor editAs="oneCell">
    <xdr:from>
      <xdr:col>0</xdr:col>
      <xdr:colOff>308540</xdr:colOff>
      <xdr:row>53</xdr:row>
      <xdr:rowOff>46748</xdr:rowOff>
    </xdr:from>
    <xdr:to>
      <xdr:col>2</xdr:col>
      <xdr:colOff>661442</xdr:colOff>
      <xdr:row>63</xdr:row>
      <xdr:rowOff>136240</xdr:rowOff>
    </xdr:to>
    <xdr:pic>
      <xdr:nvPicPr>
        <xdr:cNvPr id="25" name="24 Imagen" descr="Recorte de pantalla"/>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08540" y="11163533"/>
          <a:ext cx="2344387" cy="19594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219075</xdr:colOff>
          <xdr:row>5</xdr:row>
          <xdr:rowOff>104775</xdr:rowOff>
        </xdr:from>
        <xdr:to>
          <xdr:col>2</xdr:col>
          <xdr:colOff>66675</xdr:colOff>
          <xdr:row>16</xdr:row>
          <xdr:rowOff>161925</xdr:rowOff>
        </xdr:to>
        <xdr:sp macro="" textlink="">
          <xdr:nvSpPr>
            <xdr:cNvPr id="25601" name="Object 1" hidden="1">
              <a:extLst>
                <a:ext uri="{63B3BB69-23CF-44E3-9099-C40C66FF867C}">
                  <a14:compatExt spid="_x0000_s25601"/>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0</xdr:colOff>
      <xdr:row>0</xdr:row>
      <xdr:rowOff>0</xdr:rowOff>
    </xdr:from>
    <xdr:to>
      <xdr:col>15</xdr:col>
      <xdr:colOff>19050</xdr:colOff>
      <xdr:row>0</xdr:row>
      <xdr:rowOff>800100</xdr:rowOff>
    </xdr:to>
    <xdr:grpSp>
      <xdr:nvGrpSpPr>
        <xdr:cNvPr id="1473" name="Group 167"/>
        <xdr:cNvGrpSpPr>
          <a:grpSpLocks/>
        </xdr:cNvGrpSpPr>
      </xdr:nvGrpSpPr>
      <xdr:grpSpPr bwMode="auto">
        <a:xfrm>
          <a:off x="228600" y="0"/>
          <a:ext cx="7877175" cy="800100"/>
          <a:chOff x="16" y="0"/>
          <a:chExt cx="754" cy="84"/>
        </a:xfrm>
      </xdr:grpSpPr>
      <xdr:pic>
        <xdr:nvPicPr>
          <xdr:cNvPr id="1474" name="1 Imagen" descr="plantilla.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 y="0"/>
            <a:ext cx="754"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89" name="2 CuadroTexto"/>
          <xdr:cNvSpPr txBox="1">
            <a:spLocks noChangeArrowheads="1"/>
          </xdr:cNvSpPr>
        </xdr:nvSpPr>
        <xdr:spPr bwMode="auto">
          <a:xfrm>
            <a:off x="25" y="3"/>
            <a:ext cx="616" cy="78"/>
          </a:xfrm>
          <a:prstGeom prst="rect">
            <a:avLst/>
          </a:prstGeom>
          <a:noFill/>
          <a:ln w="9525">
            <a:noFill/>
            <a:miter lim="800000"/>
            <a:headEnd/>
            <a:tailEnd/>
          </a:ln>
        </xdr:spPr>
        <xdr:txBody>
          <a:bodyPr vertOverflow="clip" wrap="square" lIns="91440" tIns="45720" rIns="91440" bIns="45720" anchor="t" upright="1"/>
          <a:lstStyle/>
          <a:p>
            <a:pPr algn="l" rtl="0">
              <a:lnSpc>
                <a:spcPts val="1600"/>
              </a:lnSpc>
              <a:defRPr sz="1000"/>
            </a:pPr>
            <a:r>
              <a:rPr lang="en-US" sz="1400" b="1" i="0" u="none" strike="noStrike" baseline="0">
                <a:solidFill>
                  <a:srgbClr val="FFFFFF"/>
                </a:solidFill>
                <a:latin typeface="Calibri"/>
              </a:rPr>
              <a:t>CERTIFICACION  ENEGÉTICA EN VIVIENDAS</a:t>
            </a:r>
          </a:p>
          <a:p>
            <a:pPr algn="l" rtl="0">
              <a:defRPr sz="1000"/>
            </a:pPr>
            <a:r>
              <a:rPr lang="en-US" sz="1400" b="1" i="0" u="none" strike="noStrike" baseline="0">
                <a:solidFill>
                  <a:srgbClr val="000000"/>
                </a:solidFill>
                <a:latin typeface="Calibri"/>
              </a:rPr>
              <a:t>Proyecto de Arquitectura/Edificio Terminado</a:t>
            </a:r>
          </a:p>
          <a:p>
            <a:pPr algn="l" rtl="0">
              <a:lnSpc>
                <a:spcPts val="1500"/>
              </a:lnSpc>
              <a:defRPr sz="1000"/>
            </a:pPr>
            <a:endParaRPr lang="en-US" sz="1400" b="1" i="0" u="none" strike="noStrike" baseline="0">
              <a:solidFill>
                <a:srgbClr val="000000"/>
              </a:solidFill>
              <a:latin typeface="Calibri"/>
            </a:endParaRPr>
          </a:p>
        </xdr:txBody>
      </xdr:sp>
    </xdr:grpSp>
    <xdr:clientData/>
  </xdr:twoCellAnchor>
  <mc:AlternateContent xmlns:mc="http://schemas.openxmlformats.org/markup-compatibility/2006">
    <mc:Choice xmlns:a14="http://schemas.microsoft.com/office/drawing/2010/main" Requires="a14">
      <xdr:twoCellAnchor editAs="oneCell">
        <xdr:from>
          <xdr:col>2</xdr:col>
          <xdr:colOff>38100</xdr:colOff>
          <xdr:row>197</xdr:row>
          <xdr:rowOff>38100</xdr:rowOff>
        </xdr:from>
        <xdr:to>
          <xdr:col>10</xdr:col>
          <xdr:colOff>66675</xdr:colOff>
          <xdr:row>198</xdr:row>
          <xdr:rowOff>9525</xdr:rowOff>
        </xdr:to>
        <xdr:sp macro="" textlink="">
          <xdr:nvSpPr>
            <xdr:cNvPr id="1087" name="Drop Down 63" hidden="1">
              <a:extLst>
                <a:ext uri="{63B3BB69-23CF-44E3-9099-C40C66FF867C}">
                  <a14:compatExt spid="_x0000_s1087"/>
                </a:ext>
              </a:extLst>
            </xdr:cNvPr>
            <xdr:cNvSpPr/>
          </xdr:nvSpPr>
          <xdr:spPr>
            <a:xfrm>
              <a:off x="0" y="0"/>
              <a:ext cx="0" cy="0"/>
            </a:xfrm>
            <a:prstGeom prst="rect">
              <a:avLst/>
            </a:prstGeom>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9525</xdr:colOff>
      <xdr:row>1</xdr:row>
      <xdr:rowOff>19050</xdr:rowOff>
    </xdr:to>
    <xdr:grpSp>
      <xdr:nvGrpSpPr>
        <xdr:cNvPr id="6410" name="Group 19"/>
        <xdr:cNvGrpSpPr>
          <a:grpSpLocks/>
        </xdr:cNvGrpSpPr>
      </xdr:nvGrpSpPr>
      <xdr:grpSpPr bwMode="auto">
        <a:xfrm>
          <a:off x="158750" y="0"/>
          <a:ext cx="7224713" cy="796925"/>
          <a:chOff x="16" y="0"/>
          <a:chExt cx="754" cy="84"/>
        </a:xfrm>
      </xdr:grpSpPr>
      <xdr:pic>
        <xdr:nvPicPr>
          <xdr:cNvPr id="6411" name="1 Imagen" descr="plantilla.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 y="0"/>
            <a:ext cx="754"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165" name="2 CuadroTexto"/>
          <xdr:cNvSpPr txBox="1">
            <a:spLocks noChangeArrowheads="1"/>
          </xdr:cNvSpPr>
        </xdr:nvSpPr>
        <xdr:spPr bwMode="auto">
          <a:xfrm>
            <a:off x="25" y="3"/>
            <a:ext cx="616" cy="78"/>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400" b="1" i="0" u="none" strike="noStrike" baseline="0">
                <a:solidFill>
                  <a:srgbClr val="FFFFFF"/>
                </a:solidFill>
                <a:latin typeface="Calibri"/>
              </a:rPr>
              <a:t>CERTIFICACION  ENEGÉTICA EN VIVIENDAS</a:t>
            </a:r>
          </a:p>
          <a:p>
            <a:pPr algn="l" rtl="0">
              <a:lnSpc>
                <a:spcPts val="1600"/>
              </a:lnSpc>
              <a:defRPr sz="1000"/>
            </a:pPr>
            <a:r>
              <a:rPr lang="en-US" sz="1400" b="1" i="0" u="none" strike="noStrike" baseline="0">
                <a:solidFill>
                  <a:srgbClr val="000000"/>
                </a:solidFill>
                <a:latin typeface="Calibri"/>
              </a:rPr>
              <a:t>Proyecto de Arquitectura/Edificio Terminado</a:t>
            </a:r>
          </a:p>
          <a:p>
            <a:pPr algn="l" rtl="0">
              <a:defRPr sz="1000"/>
            </a:pPr>
            <a:r>
              <a:rPr lang="en-US" sz="1100" b="1" i="0" u="none" strike="noStrike" baseline="0">
                <a:solidFill>
                  <a:srgbClr val="FFFFFF"/>
                </a:solidFill>
                <a:latin typeface="Calibri"/>
              </a:rPr>
              <a:t>Certificado Nº: 1224453u48349-2323</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CEV_v1.0%20Antigu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E_Chile"/>
      <sheetName val="Datos Informe y Etiqueta"/>
      <sheetName val="Resultados Detallados"/>
      <sheetName val="Certificado"/>
      <sheetName val="Notas1"/>
      <sheetName val="Notas2"/>
      <sheetName val="Notas3"/>
      <sheetName val="Calculo Fa"/>
      <sheetName val="Vivienda Objeto"/>
      <sheetName val="Referencia"/>
      <sheetName val="R1"/>
      <sheetName val="R2"/>
      <sheetName val="R3"/>
      <sheetName val="R4"/>
      <sheetName val="R5"/>
      <sheetName val="R6"/>
      <sheetName val="Versiones"/>
      <sheetName val="Hoja1"/>
      <sheetName val="Hoja2"/>
      <sheetName val="Cambios Realizados"/>
    </sheetNames>
    <sheetDataSet>
      <sheetData sheetId="0"/>
      <sheetData sheetId="1"/>
      <sheetData sheetId="2"/>
      <sheetData sheetId="3"/>
      <sheetData sheetId="4"/>
      <sheetData sheetId="5"/>
      <sheetData sheetId="6"/>
      <sheetData sheetId="7"/>
      <sheetData sheetId="8"/>
      <sheetData sheetId="9">
        <row r="213">
          <cell r="H213">
            <v>30</v>
          </cell>
        </row>
      </sheetData>
      <sheetData sheetId="10"/>
      <sheetData sheetId="11">
        <row r="145">
          <cell r="F145" t="str">
            <v>Si</v>
          </cell>
        </row>
      </sheetData>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23.xml"/><Relationship Id="rId2" Type="http://schemas.openxmlformats.org/officeDocument/2006/relationships/vmlDrawing" Target="../drawings/vmlDrawing3.vml"/><Relationship Id="rId1" Type="http://schemas.openxmlformats.org/officeDocument/2006/relationships/drawing" Target="../drawings/drawing7.xml"/><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8.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drawing" Target="../drawings/drawing6.xml"/><Relationship Id="rId4" Type="http://schemas.openxmlformats.org/officeDocument/2006/relationships/image" Target="../media/image8.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indexed="63"/>
    <pageSetUpPr autoPageBreaks="0"/>
  </sheetPr>
  <dimension ref="B1:AF22"/>
  <sheetViews>
    <sheetView showGridLines="0" showRowColHeaders="0" showZeros="0" workbookViewId="0">
      <selection activeCell="AI18" sqref="AI18"/>
    </sheetView>
  </sheetViews>
  <sheetFormatPr baseColWidth="10" defaultRowHeight="12.75" x14ac:dyDescent="0.2"/>
  <cols>
    <col min="1" max="1" width="3.140625" customWidth="1"/>
    <col min="2" max="32" width="3.42578125" customWidth="1"/>
  </cols>
  <sheetData>
    <row r="1" spans="2:32" ht="8.25" customHeight="1" x14ac:dyDescent="0.2"/>
    <row r="2" spans="2:32" x14ac:dyDescent="0.2">
      <c r="B2" s="458"/>
      <c r="C2" s="458"/>
      <c r="D2" s="458"/>
      <c r="E2" s="458"/>
      <c r="F2" s="458"/>
      <c r="G2" s="458"/>
      <c r="H2" s="458"/>
      <c r="I2" s="458"/>
      <c r="J2" s="458"/>
      <c r="K2" s="458"/>
      <c r="L2" s="458"/>
      <c r="M2" s="458"/>
      <c r="N2" s="458"/>
      <c r="O2" s="458"/>
      <c r="P2" s="458"/>
      <c r="Q2" s="458"/>
      <c r="R2" s="458"/>
      <c r="S2" s="458"/>
      <c r="T2" s="458"/>
      <c r="U2" s="458"/>
      <c r="V2" s="458"/>
      <c r="W2" s="458"/>
      <c r="X2" s="458"/>
      <c r="Y2" s="458"/>
      <c r="Z2" s="458"/>
      <c r="AA2" s="458"/>
      <c r="AB2" s="458"/>
      <c r="AC2" s="458"/>
      <c r="AD2" s="458"/>
      <c r="AE2" s="458"/>
      <c r="AF2" s="458"/>
    </row>
    <row r="3" spans="2:32" ht="19.5" customHeight="1" x14ac:dyDescent="0.3">
      <c r="B3" s="1105" t="s">
        <v>1144</v>
      </c>
      <c r="C3" s="1106"/>
      <c r="D3" s="1106"/>
      <c r="E3" s="1106"/>
      <c r="F3" s="1106"/>
      <c r="G3" s="1106"/>
      <c r="H3" s="1106"/>
      <c r="I3" s="1106"/>
      <c r="J3" s="1106"/>
      <c r="K3" s="1106"/>
      <c r="L3" s="1106"/>
      <c r="M3" s="1106"/>
      <c r="N3" s="1106"/>
      <c r="O3" s="1106"/>
      <c r="P3" s="1106"/>
      <c r="Q3" s="1106"/>
      <c r="R3" s="1106"/>
      <c r="S3" s="1106"/>
      <c r="T3" s="1106"/>
      <c r="U3" s="1106"/>
      <c r="V3" s="1106"/>
      <c r="W3" s="1106"/>
      <c r="X3" s="1106"/>
      <c r="Y3" s="1106"/>
      <c r="Z3" s="1106"/>
      <c r="AA3" s="462"/>
      <c r="AB3" s="462"/>
      <c r="AC3" s="462"/>
      <c r="AD3" s="462"/>
      <c r="AE3" s="462"/>
      <c r="AF3" s="462"/>
    </row>
    <row r="4" spans="2:32" ht="18" customHeight="1" x14ac:dyDescent="0.25">
      <c r="B4" s="1107" t="s">
        <v>1145</v>
      </c>
      <c r="C4" s="1108"/>
      <c r="D4" s="1108"/>
      <c r="E4" s="1108"/>
      <c r="F4" s="1108"/>
      <c r="G4" s="1108"/>
      <c r="H4" s="1108"/>
      <c r="I4" s="1108"/>
      <c r="J4" s="1108"/>
      <c r="K4" s="1108"/>
      <c r="L4" s="1108"/>
      <c r="M4" s="1108"/>
      <c r="N4" s="1108"/>
      <c r="O4" s="1108"/>
      <c r="P4" s="1108"/>
      <c r="Q4" s="1108"/>
      <c r="R4" s="1108" t="s">
        <v>785</v>
      </c>
      <c r="S4" s="1108"/>
      <c r="T4" s="1108"/>
      <c r="U4" s="1228">
        <v>1</v>
      </c>
      <c r="V4" s="1228"/>
      <c r="W4" s="1228"/>
      <c r="X4" s="1108"/>
      <c r="Y4" s="1108"/>
      <c r="Z4" s="1108"/>
      <c r="AA4" s="457"/>
      <c r="AB4" s="457"/>
      <c r="AC4" s="457"/>
      <c r="AD4" s="457"/>
      <c r="AE4" s="457"/>
      <c r="AF4" s="457"/>
    </row>
    <row r="5" spans="2:32" x14ac:dyDescent="0.2">
      <c r="B5" s="459"/>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row>
    <row r="6" spans="2:32" ht="6.75" customHeight="1" x14ac:dyDescent="0.2"/>
    <row r="7" spans="2:32" x14ac:dyDescent="0.2">
      <c r="C7" s="1226" t="s">
        <v>1234</v>
      </c>
      <c r="D7" s="1227"/>
      <c r="E7" s="1227"/>
      <c r="F7" s="1227"/>
      <c r="G7" s="1227"/>
      <c r="H7" s="1227"/>
      <c r="I7" s="1227"/>
      <c r="J7" s="1227"/>
      <c r="K7" s="1227"/>
      <c r="L7" s="1227"/>
      <c r="M7" s="1227"/>
      <c r="N7" s="1227"/>
      <c r="O7" s="1227"/>
      <c r="P7" s="1227"/>
      <c r="Q7" s="1227"/>
      <c r="R7" s="1227"/>
      <c r="S7" s="1227"/>
      <c r="T7" s="1227"/>
      <c r="U7" s="1227"/>
      <c r="V7" s="1227"/>
    </row>
    <row r="8" spans="2:32" x14ac:dyDescent="0.2">
      <c r="C8" s="1227"/>
      <c r="D8" s="1227"/>
      <c r="E8" s="1227"/>
      <c r="F8" s="1227"/>
      <c r="G8" s="1227"/>
      <c r="H8" s="1227"/>
      <c r="I8" s="1227"/>
      <c r="J8" s="1227"/>
      <c r="K8" s="1227"/>
      <c r="L8" s="1227"/>
      <c r="M8" s="1227"/>
      <c r="N8" s="1227"/>
      <c r="O8" s="1227"/>
      <c r="P8" s="1227"/>
      <c r="Q8" s="1227"/>
      <c r="R8" s="1227"/>
      <c r="S8" s="1227"/>
      <c r="T8" s="1227"/>
      <c r="U8" s="1227"/>
      <c r="V8" s="1227"/>
    </row>
    <row r="9" spans="2:32" x14ac:dyDescent="0.2">
      <c r="C9" s="1227"/>
      <c r="D9" s="1227"/>
      <c r="E9" s="1227"/>
      <c r="F9" s="1227"/>
      <c r="G9" s="1227"/>
      <c r="H9" s="1227"/>
      <c r="I9" s="1227"/>
      <c r="J9" s="1227"/>
      <c r="K9" s="1227"/>
      <c r="L9" s="1227"/>
      <c r="M9" s="1227"/>
      <c r="N9" s="1227"/>
      <c r="O9" s="1227"/>
      <c r="P9" s="1227"/>
      <c r="Q9" s="1227"/>
      <c r="R9" s="1227"/>
      <c r="S9" s="1227"/>
      <c r="T9" s="1227"/>
      <c r="U9" s="1227"/>
      <c r="V9" s="1227"/>
    </row>
    <row r="10" spans="2:32" x14ac:dyDescent="0.2">
      <c r="C10" s="1227"/>
      <c r="D10" s="1227"/>
      <c r="E10" s="1227"/>
      <c r="F10" s="1227"/>
      <c r="G10" s="1227"/>
      <c r="H10" s="1227"/>
      <c r="I10" s="1227"/>
      <c r="J10" s="1227"/>
      <c r="K10" s="1227"/>
      <c r="L10" s="1227"/>
      <c r="M10" s="1227"/>
      <c r="N10" s="1227"/>
      <c r="O10" s="1227"/>
      <c r="P10" s="1227"/>
      <c r="Q10" s="1227"/>
      <c r="R10" s="1227"/>
      <c r="S10" s="1227"/>
      <c r="T10" s="1227"/>
      <c r="U10" s="1227"/>
      <c r="V10" s="1227"/>
    </row>
    <row r="11" spans="2:32" x14ac:dyDescent="0.2">
      <c r="C11" s="1227"/>
      <c r="D11" s="1227"/>
      <c r="E11" s="1227"/>
      <c r="F11" s="1227"/>
      <c r="G11" s="1227"/>
      <c r="H11" s="1227"/>
      <c r="I11" s="1227"/>
      <c r="J11" s="1227"/>
      <c r="K11" s="1227"/>
      <c r="L11" s="1227"/>
      <c r="M11" s="1227"/>
      <c r="N11" s="1227"/>
      <c r="O11" s="1227"/>
      <c r="P11" s="1227"/>
      <c r="Q11" s="1227"/>
      <c r="R11" s="1227"/>
      <c r="S11" s="1227"/>
      <c r="T11" s="1227"/>
      <c r="U11" s="1227"/>
      <c r="V11" s="1227"/>
    </row>
    <row r="12" spans="2:32" x14ac:dyDescent="0.2">
      <c r="C12" s="1227"/>
      <c r="D12" s="1227"/>
      <c r="E12" s="1227"/>
      <c r="F12" s="1227"/>
      <c r="G12" s="1227"/>
      <c r="H12" s="1227"/>
      <c r="I12" s="1227"/>
      <c r="J12" s="1227"/>
      <c r="K12" s="1227"/>
      <c r="L12" s="1227"/>
      <c r="M12" s="1227"/>
      <c r="N12" s="1227"/>
      <c r="O12" s="1227"/>
      <c r="P12" s="1227"/>
      <c r="Q12" s="1227"/>
      <c r="R12" s="1227"/>
      <c r="S12" s="1227"/>
      <c r="T12" s="1227"/>
      <c r="U12" s="1227"/>
      <c r="V12" s="1227"/>
    </row>
    <row r="13" spans="2:32" x14ac:dyDescent="0.2">
      <c r="C13" s="1227"/>
      <c r="D13" s="1227"/>
      <c r="E13" s="1227"/>
      <c r="F13" s="1227"/>
      <c r="G13" s="1227"/>
      <c r="H13" s="1227"/>
      <c r="I13" s="1227"/>
      <c r="J13" s="1227"/>
      <c r="K13" s="1227"/>
      <c r="L13" s="1227"/>
      <c r="M13" s="1227"/>
      <c r="N13" s="1227"/>
      <c r="O13" s="1227"/>
      <c r="P13" s="1227"/>
      <c r="Q13" s="1227"/>
      <c r="R13" s="1227"/>
      <c r="S13" s="1227"/>
      <c r="T13" s="1227"/>
      <c r="U13" s="1227"/>
      <c r="V13" s="1227"/>
    </row>
    <row r="14" spans="2:32" x14ac:dyDescent="0.2">
      <c r="C14" s="1227"/>
      <c r="D14" s="1227"/>
      <c r="E14" s="1227"/>
      <c r="F14" s="1227"/>
      <c r="G14" s="1227"/>
      <c r="H14" s="1227"/>
      <c r="I14" s="1227"/>
      <c r="J14" s="1227"/>
      <c r="K14" s="1227"/>
      <c r="L14" s="1227"/>
      <c r="M14" s="1227"/>
      <c r="N14" s="1227"/>
      <c r="O14" s="1227"/>
      <c r="P14" s="1227"/>
      <c r="Q14" s="1227"/>
      <c r="R14" s="1227"/>
      <c r="S14" s="1227"/>
      <c r="T14" s="1227"/>
      <c r="U14" s="1227"/>
      <c r="V14" s="1227"/>
    </row>
    <row r="15" spans="2:32" x14ac:dyDescent="0.2">
      <c r="C15" s="1227"/>
      <c r="D15" s="1227"/>
      <c r="E15" s="1227"/>
      <c r="F15" s="1227"/>
      <c r="G15" s="1227"/>
      <c r="H15" s="1227"/>
      <c r="I15" s="1227"/>
      <c r="J15" s="1227"/>
      <c r="K15" s="1227"/>
      <c r="L15" s="1227"/>
      <c r="M15" s="1227"/>
      <c r="N15" s="1227"/>
      <c r="O15" s="1227"/>
      <c r="P15" s="1227"/>
      <c r="Q15" s="1227"/>
      <c r="R15" s="1227"/>
      <c r="S15" s="1227"/>
      <c r="T15" s="1227"/>
      <c r="U15" s="1227"/>
      <c r="V15" s="1227"/>
    </row>
    <row r="16" spans="2:32" ht="76.5" customHeight="1" x14ac:dyDescent="0.2">
      <c r="C16" s="1227"/>
      <c r="D16" s="1227"/>
      <c r="E16" s="1227"/>
      <c r="F16" s="1227"/>
      <c r="G16" s="1227"/>
      <c r="H16" s="1227"/>
      <c r="I16" s="1227"/>
      <c r="J16" s="1227"/>
      <c r="K16" s="1227"/>
      <c r="L16" s="1227"/>
      <c r="M16" s="1227"/>
      <c r="N16" s="1227"/>
      <c r="O16" s="1227"/>
      <c r="P16" s="1227"/>
      <c r="Q16" s="1227"/>
      <c r="R16" s="1227"/>
      <c r="S16" s="1227"/>
      <c r="T16" s="1227"/>
      <c r="U16" s="1227"/>
      <c r="V16" s="1227"/>
    </row>
    <row r="17" spans="2:32" ht="6.75" customHeight="1" x14ac:dyDescent="0.2"/>
    <row r="18" spans="2:32" ht="6" customHeight="1" x14ac:dyDescent="0.2"/>
    <row r="19" spans="2:32" ht="6" customHeight="1" x14ac:dyDescent="0.2"/>
    <row r="20" spans="2:32" x14ac:dyDescent="0.2">
      <c r="B20" s="459"/>
      <c r="C20" s="459"/>
      <c r="D20" s="459"/>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row>
    <row r="21" spans="2:32" ht="48" customHeight="1" x14ac:dyDescent="0.2">
      <c r="B21" s="458"/>
      <c r="C21" s="458"/>
      <c r="D21" s="458"/>
      <c r="E21" s="458"/>
      <c r="F21" s="458"/>
      <c r="G21" s="458"/>
      <c r="H21" s="458"/>
      <c r="I21" s="458"/>
      <c r="J21" s="458"/>
      <c r="K21" s="458"/>
      <c r="L21" s="458"/>
      <c r="M21" s="458"/>
      <c r="N21" s="458"/>
      <c r="O21" s="458"/>
      <c r="P21" s="458"/>
      <c r="Q21" s="458"/>
      <c r="R21" s="456"/>
      <c r="S21" s="458"/>
      <c r="T21" s="458"/>
      <c r="U21" s="458"/>
      <c r="V21" s="458"/>
      <c r="W21" s="458"/>
      <c r="X21" s="456"/>
      <c r="Y21" s="456"/>
      <c r="Z21" s="458"/>
      <c r="AA21" s="458"/>
      <c r="AB21" s="458"/>
      <c r="AC21" s="458"/>
      <c r="AD21" s="458"/>
      <c r="AE21" s="458"/>
      <c r="AF21" s="458"/>
    </row>
    <row r="22" spans="2:32" ht="14.25" customHeight="1" x14ac:dyDescent="0.2">
      <c r="B22" s="458"/>
      <c r="C22" s="458"/>
      <c r="D22" s="458"/>
      <c r="E22" s="458"/>
      <c r="F22" s="458"/>
      <c r="G22" s="458"/>
      <c r="H22" s="458"/>
      <c r="I22" s="458"/>
      <c r="J22" s="458"/>
      <c r="K22" s="458"/>
      <c r="L22" s="458"/>
      <c r="M22" s="458"/>
      <c r="N22" s="458"/>
      <c r="O22" s="458"/>
      <c r="P22" s="458"/>
      <c r="Q22" s="458"/>
      <c r="R22" s="456"/>
      <c r="S22" s="458"/>
      <c r="T22" s="458"/>
      <c r="U22" s="458"/>
      <c r="V22" s="458"/>
      <c r="W22" s="458"/>
      <c r="X22" s="458"/>
      <c r="Y22" s="456"/>
      <c r="Z22" s="458"/>
      <c r="AA22" s="458"/>
      <c r="AB22" s="458"/>
      <c r="AC22" s="458"/>
      <c r="AD22" s="458"/>
      <c r="AE22" s="458"/>
      <c r="AF22" s="458"/>
    </row>
  </sheetData>
  <sheetProtection password="EE37" sheet="1" objects="1" scenarios="1" selectLockedCells="1" selectUnlockedCells="1"/>
  <customSheetViews>
    <customSheetView guid="{2239797F-3020-4364-93B0-F22DAADF645D}" scale="130" showGridLines="0" showRowCol="0" zeroValues="0" showRuler="0">
      <selection activeCell="B3" sqref="B3"/>
      <pageMargins left="0.7" right="0.7" top="0.75" bottom="0.75" header="0.3" footer="0.3"/>
      <pageSetup paperSize="9" orientation="portrait" horizontalDpi="0" verticalDpi="0"/>
      <headerFooter alignWithMargins="0"/>
    </customSheetView>
  </customSheetViews>
  <mergeCells count="2">
    <mergeCell ref="C7:V16"/>
    <mergeCell ref="U4:W4"/>
  </mergeCells>
  <phoneticPr fontId="25" type="noConversion"/>
  <conditionalFormatting sqref="B21:AF22 B2:U4 X2:AF4 V2:W3">
    <cfRule type="expression" dxfId="84" priority="1" stopIfTrue="1">
      <formula>$B$5="Edificio terminado"</formula>
    </cfRule>
  </conditionalFormatting>
  <pageMargins left="0.75" right="0.75" top="1" bottom="1" header="0" footer="0"/>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R296"/>
  <sheetViews>
    <sheetView showGridLines="0" showZeros="0" showOutlineSymbols="0" topLeftCell="A198" workbookViewId="0">
      <selection activeCell="H215" sqref="H215"/>
    </sheetView>
  </sheetViews>
  <sheetFormatPr baseColWidth="10" defaultRowHeight="12.75" x14ac:dyDescent="0.2"/>
  <cols>
    <col min="1" max="1" width="1" style="11" customWidth="1"/>
    <col min="2" max="2" width="2.42578125" style="191" customWidth="1"/>
    <col min="3" max="3" width="22.42578125" style="1" customWidth="1"/>
    <col min="4" max="4" width="9.85546875" style="1" customWidth="1"/>
    <col min="5" max="5" width="1.42578125" style="1" bestFit="1" customWidth="1"/>
    <col min="6" max="6" width="14.42578125" style="1" customWidth="1"/>
    <col min="7" max="7" width="3.42578125" style="1" customWidth="1"/>
    <col min="8" max="8" width="12.42578125" style="1" customWidth="1"/>
    <col min="9" max="9" width="6.42578125" style="1" customWidth="1"/>
    <col min="10" max="10" width="11" style="1" customWidth="1"/>
    <col min="11" max="11" width="1.42578125" style="1" customWidth="1"/>
    <col min="12" max="12" width="10" style="1" customWidth="1"/>
    <col min="13" max="13" width="2.140625" style="1" customWidth="1"/>
    <col min="14" max="14" width="12.85546875" style="1" customWidth="1"/>
    <col min="15" max="15" width="10" style="1" customWidth="1"/>
  </cols>
  <sheetData>
    <row r="1" spans="2:18" s="11" customFormat="1" ht="63.75" customHeight="1" x14ac:dyDescent="0.2">
      <c r="B1" s="190"/>
      <c r="C1" s="45" t="s">
        <v>469</v>
      </c>
      <c r="D1" s="12"/>
      <c r="E1" s="12"/>
      <c r="F1" s="12"/>
      <c r="G1" s="12"/>
      <c r="H1" s="12"/>
      <c r="I1" s="12"/>
      <c r="J1" s="12"/>
      <c r="K1" s="12"/>
      <c r="L1" s="12"/>
      <c r="M1" s="12"/>
      <c r="N1" s="12"/>
      <c r="O1" s="12"/>
    </row>
    <row r="2" spans="2:18" ht="18.75" customHeight="1" x14ac:dyDescent="0.2">
      <c r="C2" s="1533" t="s">
        <v>313</v>
      </c>
      <c r="D2" s="1533"/>
      <c r="F2" s="1">
        <f>'R1'!J2</f>
        <v>3</v>
      </c>
      <c r="G2" s="12"/>
    </row>
    <row r="3" spans="2:18" ht="12.75" customHeight="1" x14ac:dyDescent="0.2">
      <c r="G3" s="12"/>
    </row>
    <row r="4" spans="2:18" x14ac:dyDescent="0.2">
      <c r="C4" s="1" t="s">
        <v>409</v>
      </c>
      <c r="G4" s="1534">
        <f>CE_Chile!G13</f>
        <v>0</v>
      </c>
      <c r="H4" s="1534"/>
      <c r="I4" s="1534"/>
      <c r="J4" s="1534"/>
      <c r="K4" s="1534"/>
      <c r="L4" s="1534"/>
      <c r="M4" s="1534"/>
      <c r="N4" s="1534"/>
      <c r="O4" s="1534"/>
    </row>
    <row r="5" spans="2:18" x14ac:dyDescent="0.2">
      <c r="C5" s="1" t="s">
        <v>410</v>
      </c>
      <c r="G5" s="1535">
        <f>CE_Chile!G14</f>
        <v>0</v>
      </c>
      <c r="H5" s="1536"/>
      <c r="I5" s="1536"/>
      <c r="J5" s="1536"/>
      <c r="K5" s="1536"/>
      <c r="L5" s="1536"/>
      <c r="M5" s="1536"/>
      <c r="N5" s="1536"/>
      <c r="O5" s="1537"/>
    </row>
    <row r="6" spans="2:18" x14ac:dyDescent="0.2">
      <c r="C6" s="1" t="s">
        <v>411</v>
      </c>
      <c r="G6" s="1535">
        <f>CE_Chile!G15</f>
        <v>0</v>
      </c>
      <c r="H6" s="1536"/>
      <c r="I6" s="1536"/>
      <c r="J6" s="1536"/>
      <c r="K6" s="1536"/>
      <c r="L6" s="1536"/>
      <c r="M6" s="1536"/>
      <c r="N6" s="1536"/>
      <c r="O6" s="1537"/>
    </row>
    <row r="7" spans="2:18" x14ac:dyDescent="0.2">
      <c r="C7" s="1" t="s">
        <v>640</v>
      </c>
      <c r="G7" s="1535">
        <f>CE_Chile!G18</f>
        <v>0</v>
      </c>
      <c r="H7" s="1536"/>
      <c r="I7" s="1536"/>
      <c r="J7" s="1536"/>
      <c r="K7" s="1536"/>
      <c r="L7" s="1536"/>
      <c r="M7" s="1536"/>
      <c r="N7" s="1536"/>
      <c r="O7" s="1537"/>
    </row>
    <row r="8" spans="2:18" x14ac:dyDescent="0.2">
      <c r="C8" s="1" t="s">
        <v>412</v>
      </c>
      <c r="G8" s="1534">
        <f>CE_Chile!G19</f>
        <v>0</v>
      </c>
      <c r="H8" s="1534"/>
      <c r="I8" s="1534"/>
      <c r="J8" s="1534"/>
      <c r="K8" s="1534"/>
      <c r="L8" s="1534"/>
      <c r="M8" s="1534"/>
      <c r="N8" s="1534"/>
      <c r="O8" s="1534"/>
    </row>
    <row r="10" spans="2:18" ht="15.75" x14ac:dyDescent="0.25">
      <c r="C10" s="86" t="s">
        <v>257</v>
      </c>
      <c r="D10" s="43"/>
      <c r="E10" s="43"/>
      <c r="F10" s="43"/>
      <c r="G10" s="43"/>
      <c r="H10" s="43"/>
      <c r="I10" s="43"/>
      <c r="J10" s="43"/>
      <c r="K10" s="43"/>
      <c r="L10" s="43"/>
      <c r="M10" s="43"/>
      <c r="N10" s="43"/>
      <c r="O10" s="43"/>
      <c r="Q10" s="11"/>
      <c r="R10" s="11"/>
    </row>
    <row r="11" spans="2:18" x14ac:dyDescent="0.2">
      <c r="C11" s="58"/>
      <c r="D11" s="58" t="s">
        <v>260</v>
      </c>
      <c r="E11" s="58"/>
      <c r="F11" s="58" t="s">
        <v>264</v>
      </c>
      <c r="G11" s="58"/>
      <c r="H11" s="58" t="s">
        <v>263</v>
      </c>
      <c r="I11" s="61"/>
      <c r="J11" s="61"/>
      <c r="K11" s="61"/>
      <c r="L11" s="61"/>
      <c r="M11" s="61"/>
      <c r="N11" s="61"/>
      <c r="O11" s="61"/>
      <c r="Q11" s="11"/>
      <c r="R11" s="11"/>
    </row>
    <row r="12" spans="2:18" s="11" customFormat="1" ht="3.75" customHeight="1" x14ac:dyDescent="0.2">
      <c r="B12" s="190"/>
      <c r="C12" s="93"/>
      <c r="D12" s="93"/>
      <c r="E12" s="93"/>
      <c r="F12" s="93"/>
      <c r="G12" s="93"/>
      <c r="H12" s="93"/>
      <c r="I12" s="94"/>
      <c r="J12" s="94"/>
      <c r="K12" s="94"/>
      <c r="L12" s="94"/>
      <c r="M12" s="94"/>
      <c r="N12" s="94"/>
      <c r="O12" s="94"/>
    </row>
    <row r="13" spans="2:18" x14ac:dyDescent="0.2">
      <c r="C13" s="1" t="s">
        <v>258</v>
      </c>
      <c r="D13" s="62">
        <f>CE_Chile!D49</f>
        <v>69.05</v>
      </c>
      <c r="E13" s="3" t="s">
        <v>261</v>
      </c>
      <c r="F13" s="62">
        <f>CE_Chile!F49</f>
        <v>2.35</v>
      </c>
      <c r="G13" s="1" t="s">
        <v>262</v>
      </c>
      <c r="H13" s="90">
        <f>D13*F13</f>
        <v>162.26750000000001</v>
      </c>
    </row>
    <row r="14" spans="2:18" x14ac:dyDescent="0.2">
      <c r="C14" s="1" t="s">
        <v>259</v>
      </c>
      <c r="D14" s="62">
        <f>CE_Chile!D50</f>
        <v>42</v>
      </c>
      <c r="E14" s="3" t="s">
        <v>261</v>
      </c>
      <c r="F14" s="62">
        <f>CE_Chile!F50</f>
        <v>2.35</v>
      </c>
      <c r="G14" s="1" t="s">
        <v>262</v>
      </c>
      <c r="H14" s="90">
        <f>D14*F14</f>
        <v>98.7</v>
      </c>
    </row>
    <row r="15" spans="2:18" x14ac:dyDescent="0.2">
      <c r="C15" s="1" t="s">
        <v>458</v>
      </c>
      <c r="D15" s="62">
        <f>CE_Chile!D51</f>
        <v>0</v>
      </c>
      <c r="E15" s="3" t="s">
        <v>261</v>
      </c>
      <c r="F15" s="62">
        <f>CE_Chile!F51</f>
        <v>0</v>
      </c>
      <c r="G15" s="1" t="s">
        <v>262</v>
      </c>
      <c r="H15" s="90">
        <f>D15*F15</f>
        <v>0</v>
      </c>
    </row>
    <row r="16" spans="2:18" x14ac:dyDescent="0.2">
      <c r="H16" s="78"/>
    </row>
    <row r="17" spans="2:15" x14ac:dyDescent="0.2">
      <c r="C17" s="3" t="s">
        <v>295</v>
      </c>
      <c r="D17" s="88">
        <f>D13+D14+D15</f>
        <v>111.05</v>
      </c>
      <c r="F17" s="1" t="s">
        <v>265</v>
      </c>
      <c r="H17" s="90">
        <f>SUM(H13:H15)</f>
        <v>260.96750000000003</v>
      </c>
    </row>
    <row r="19" spans="2:15" ht="15.75" x14ac:dyDescent="0.25">
      <c r="C19" s="87" t="s">
        <v>266</v>
      </c>
      <c r="D19" s="43"/>
      <c r="E19" s="43"/>
      <c r="F19" s="43"/>
      <c r="G19" s="43"/>
      <c r="H19" s="43"/>
      <c r="I19" s="43"/>
      <c r="J19" s="43"/>
      <c r="K19" s="43"/>
      <c r="L19" s="43"/>
      <c r="M19" s="43"/>
      <c r="N19" s="43"/>
      <c r="O19" s="43"/>
    </row>
    <row r="20" spans="2:15" s="11" customFormat="1" ht="7.5" customHeight="1" x14ac:dyDescent="0.25">
      <c r="B20" s="190"/>
      <c r="C20" s="89"/>
      <c r="D20" s="12"/>
      <c r="E20" s="12"/>
      <c r="F20" s="12"/>
      <c r="G20" s="12"/>
      <c r="H20" s="12"/>
      <c r="I20" s="12"/>
      <c r="J20" s="12"/>
      <c r="K20" s="12"/>
      <c r="L20" s="12"/>
      <c r="M20" s="12"/>
      <c r="N20" s="12"/>
      <c r="O20" s="12"/>
    </row>
    <row r="21" spans="2:15" ht="14.25" x14ac:dyDescent="0.25">
      <c r="C21" s="1" t="s">
        <v>485</v>
      </c>
      <c r="H21" s="88">
        <v>1</v>
      </c>
      <c r="I21" s="1" t="s">
        <v>281</v>
      </c>
    </row>
    <row r="22" spans="2:15" ht="14.25" x14ac:dyDescent="0.25">
      <c r="C22" s="1" t="s">
        <v>486</v>
      </c>
      <c r="H22" s="90">
        <f>H21*0.33*H17</f>
        <v>86.119275000000016</v>
      </c>
      <c r="I22" s="1" t="s">
        <v>283</v>
      </c>
    </row>
    <row r="24" spans="2:15" ht="15.75" x14ac:dyDescent="0.25">
      <c r="C24" s="86" t="s">
        <v>267</v>
      </c>
      <c r="D24" s="43"/>
      <c r="E24" s="43"/>
      <c r="F24" s="43"/>
      <c r="G24" s="43"/>
      <c r="H24" s="43"/>
      <c r="I24" s="43"/>
      <c r="J24" s="43"/>
      <c r="K24" s="43"/>
      <c r="L24" s="43"/>
      <c r="M24" s="43"/>
      <c r="N24" s="43"/>
      <c r="O24" s="43"/>
    </row>
    <row r="25" spans="2:15" x14ac:dyDescent="0.2">
      <c r="C25" s="61" t="s">
        <v>276</v>
      </c>
      <c r="D25" s="92" t="s">
        <v>260</v>
      </c>
      <c r="E25" s="92"/>
      <c r="F25" s="92" t="s">
        <v>277</v>
      </c>
      <c r="G25" s="92"/>
      <c r="H25" s="92" t="s">
        <v>278</v>
      </c>
      <c r="I25" s="61"/>
      <c r="J25" s="92" t="s">
        <v>407</v>
      </c>
      <c r="K25" s="61"/>
      <c r="L25" s="61"/>
      <c r="M25" s="61"/>
      <c r="N25" s="61"/>
      <c r="O25" s="61"/>
    </row>
    <row r="26" spans="2:15" s="11" customFormat="1" ht="5.25" customHeight="1" x14ac:dyDescent="0.2">
      <c r="B26" s="190"/>
      <c r="C26" s="94"/>
      <c r="D26" s="95"/>
      <c r="E26" s="95"/>
      <c r="F26" s="95"/>
      <c r="G26" s="95"/>
      <c r="H26" s="95"/>
      <c r="I26" s="94"/>
      <c r="J26" s="95"/>
      <c r="K26" s="94"/>
      <c r="L26" s="94"/>
      <c r="M26" s="94"/>
      <c r="N26" s="94"/>
      <c r="O26" s="94"/>
    </row>
    <row r="27" spans="2:15" x14ac:dyDescent="0.2">
      <c r="C27" s="1" t="s">
        <v>270</v>
      </c>
      <c r="D27" s="63">
        <f>CE_Chile!D61</f>
        <v>3.1</v>
      </c>
      <c r="E27" s="64" t="s">
        <v>261</v>
      </c>
      <c r="F27" s="63">
        <f>CE_Chile!F61</f>
        <v>2.21</v>
      </c>
      <c r="G27" s="64" t="s">
        <v>262</v>
      </c>
      <c r="H27" s="90">
        <f>D27*F27</f>
        <v>6.851</v>
      </c>
      <c r="J27" s="91"/>
    </row>
    <row r="28" spans="2:15" x14ac:dyDescent="0.2">
      <c r="C28" s="1" t="s">
        <v>271</v>
      </c>
      <c r="D28" s="63">
        <f>CE_Chile!D62</f>
        <v>23.57</v>
      </c>
      <c r="E28" s="64" t="s">
        <v>261</v>
      </c>
      <c r="F28" s="63">
        <f>CE_Chile!F62</f>
        <v>5.8</v>
      </c>
      <c r="G28" s="64" t="s">
        <v>262</v>
      </c>
      <c r="H28" s="90">
        <f t="shared" ref="H28:H36" si="0">D28*F28</f>
        <v>136.70599999999999</v>
      </c>
      <c r="J28" s="91"/>
    </row>
    <row r="29" spans="2:15" x14ac:dyDescent="0.2">
      <c r="C29" s="1" t="s">
        <v>272</v>
      </c>
      <c r="D29" s="63">
        <f>CE_Chile!D63</f>
        <v>0</v>
      </c>
      <c r="E29" s="64" t="s">
        <v>261</v>
      </c>
      <c r="F29" s="63">
        <f>CE_Chile!F63</f>
        <v>0</v>
      </c>
      <c r="G29" s="64" t="s">
        <v>262</v>
      </c>
      <c r="H29" s="90">
        <f t="shared" si="0"/>
        <v>0</v>
      </c>
      <c r="J29" s="91"/>
      <c r="L29" s="1" t="s">
        <v>456</v>
      </c>
      <c r="N29" s="64">
        <f>100*(H28+H29)/L45</f>
        <v>29.361933794752229</v>
      </c>
      <c r="O29" s="78">
        <f t="shared" ref="O29:O34" si="1">N29*L$45/100</f>
        <v>136.70599999999999</v>
      </c>
    </row>
    <row r="30" spans="2:15" x14ac:dyDescent="0.2">
      <c r="C30" s="1" t="s">
        <v>566</v>
      </c>
      <c r="D30" s="63">
        <f>CE_Chile!D64</f>
        <v>0</v>
      </c>
      <c r="E30" s="64"/>
      <c r="F30" s="63">
        <f>CE_Chile!F64</f>
        <v>0</v>
      </c>
      <c r="G30" s="64"/>
      <c r="H30" s="90">
        <f t="shared" si="0"/>
        <v>0</v>
      </c>
      <c r="J30" s="1075"/>
      <c r="L30" s="1" t="s">
        <v>909</v>
      </c>
      <c r="N30" s="64">
        <f>100*(H32+H33+H34+H27+H46)/L45</f>
        <v>34.884699060636557</v>
      </c>
      <c r="O30" s="78">
        <f t="shared" si="1"/>
        <v>162.41940000000002</v>
      </c>
    </row>
    <row r="31" spans="2:15" x14ac:dyDescent="0.2">
      <c r="C31" s="1" t="s">
        <v>567</v>
      </c>
      <c r="D31" s="63">
        <f>CE_Chile!D65</f>
        <v>0</v>
      </c>
      <c r="E31" s="64"/>
      <c r="F31" s="63">
        <f>CE_Chile!F65</f>
        <v>0</v>
      </c>
      <c r="G31" s="64"/>
      <c r="H31" s="90">
        <f t="shared" si="0"/>
        <v>0</v>
      </c>
      <c r="J31" s="91">
        <f>'R1'!L63</f>
        <v>0.7</v>
      </c>
      <c r="L31" s="1" t="s">
        <v>745</v>
      </c>
      <c r="N31" s="64">
        <f>100*(H30+H31+J42+J43)/L45</f>
        <v>10.069820666489864</v>
      </c>
      <c r="O31" s="78">
        <f t="shared" si="1"/>
        <v>46.883999999999993</v>
      </c>
    </row>
    <row r="32" spans="2:15" x14ac:dyDescent="0.2">
      <c r="C32" s="1" t="s">
        <v>273</v>
      </c>
      <c r="D32" s="63">
        <f>CE_Chile!D66</f>
        <v>71.33</v>
      </c>
      <c r="E32" s="64" t="s">
        <v>261</v>
      </c>
      <c r="F32" s="63">
        <f>CE_Chile!F66</f>
        <v>1.58</v>
      </c>
      <c r="G32" s="64" t="s">
        <v>262</v>
      </c>
      <c r="H32" s="90">
        <f t="shared" si="0"/>
        <v>112.70140000000001</v>
      </c>
      <c r="J32" s="91">
        <f>'R1'!K64</f>
        <v>1.9</v>
      </c>
      <c r="L32" s="1" t="s">
        <v>287</v>
      </c>
      <c r="N32" s="64">
        <f>100*(H35+H36)/L45</f>
        <v>7.1867105601509573</v>
      </c>
      <c r="O32" s="78">
        <f t="shared" si="1"/>
        <v>33.460550000000005</v>
      </c>
    </row>
    <row r="33" spans="3:15" x14ac:dyDescent="0.2">
      <c r="C33" s="1" t="s">
        <v>274</v>
      </c>
      <c r="D33" s="63">
        <f>CE_Chile!D67</f>
        <v>54.25</v>
      </c>
      <c r="E33" s="64" t="s">
        <v>261</v>
      </c>
      <c r="F33" s="63">
        <f>CE_Chile!F67</f>
        <v>0.46</v>
      </c>
      <c r="G33" s="64" t="s">
        <v>262</v>
      </c>
      <c r="H33" s="90">
        <f t="shared" si="0"/>
        <v>24.955000000000002</v>
      </c>
      <c r="J33" s="91">
        <f>'R1'!K64</f>
        <v>1.9</v>
      </c>
      <c r="L33" s="1" t="s">
        <v>910</v>
      </c>
      <c r="N33" s="64">
        <f>100*H22/L45</f>
        <v>18.496835917970397</v>
      </c>
      <c r="O33" s="78">
        <f t="shared" si="1"/>
        <v>86.119275000000016</v>
      </c>
    </row>
    <row r="34" spans="3:15" x14ac:dyDescent="0.2">
      <c r="C34" s="1" t="s">
        <v>275</v>
      </c>
      <c r="D34" s="63">
        <f>CE_Chile!D68</f>
        <v>0</v>
      </c>
      <c r="E34" s="64" t="s">
        <v>261</v>
      </c>
      <c r="F34" s="63">
        <f>CE_Chile!F68</f>
        <v>0</v>
      </c>
      <c r="G34" s="64" t="s">
        <v>262</v>
      </c>
      <c r="H34" s="90">
        <f t="shared" si="0"/>
        <v>0</v>
      </c>
      <c r="J34" s="91">
        <f>'R1'!K64</f>
        <v>1.9</v>
      </c>
      <c r="N34" s="64">
        <f>SUM(N29:N33)</f>
        <v>100</v>
      </c>
      <c r="O34" s="78">
        <f t="shared" si="1"/>
        <v>465.589225</v>
      </c>
    </row>
    <row r="35" spans="3:15" x14ac:dyDescent="0.2">
      <c r="C35" s="1" t="s">
        <v>268</v>
      </c>
      <c r="D35" s="65">
        <f>CE_Chile!D69</f>
        <v>71.650000000000006</v>
      </c>
      <c r="E35" s="64" t="s">
        <v>261</v>
      </c>
      <c r="F35" s="63">
        <f>CE_Chile!F69</f>
        <v>0.46700000000000003</v>
      </c>
      <c r="G35" s="64" t="s">
        <v>262</v>
      </c>
      <c r="H35" s="90">
        <f t="shared" si="0"/>
        <v>33.460550000000005</v>
      </c>
      <c r="J35" s="91">
        <f>'R1'!J63</f>
        <v>0.47</v>
      </c>
    </row>
    <row r="36" spans="3:15" x14ac:dyDescent="0.2">
      <c r="C36" s="1" t="s">
        <v>269</v>
      </c>
      <c r="D36" s="63">
        <f>CE_Chile!D70</f>
        <v>0</v>
      </c>
      <c r="E36" s="64" t="s">
        <v>261</v>
      </c>
      <c r="F36" s="63">
        <f>CE_Chile!F70</f>
        <v>0</v>
      </c>
      <c r="G36" s="64" t="s">
        <v>262</v>
      </c>
      <c r="H36" s="90">
        <f t="shared" si="0"/>
        <v>0</v>
      </c>
      <c r="J36" s="91">
        <f>'R1'!J63</f>
        <v>0.47</v>
      </c>
    </row>
    <row r="37" spans="3:15" x14ac:dyDescent="0.2">
      <c r="D37" s="66"/>
      <c r="E37" s="64"/>
      <c r="F37" s="66"/>
      <c r="G37" s="64"/>
      <c r="H37" s="67"/>
      <c r="I37" s="12"/>
      <c r="J37" s="68"/>
    </row>
    <row r="38" spans="3:15" x14ac:dyDescent="0.2">
      <c r="C38" s="1" t="s">
        <v>279</v>
      </c>
      <c r="E38" s="64"/>
      <c r="F38" s="90">
        <f>SUM(D27:D36)</f>
        <v>223.9</v>
      </c>
      <c r="G38" s="64"/>
      <c r="H38" s="90">
        <f>SUM(H27:H36)</f>
        <v>314.67394999999999</v>
      </c>
      <c r="I38" s="12"/>
      <c r="J38" s="68"/>
    </row>
    <row r="39" spans="3:15" x14ac:dyDescent="0.2">
      <c r="C39" s="1" t="s">
        <v>454</v>
      </c>
      <c r="E39" s="64"/>
      <c r="F39" s="90">
        <f>D27+D28+D29+D32+D33+D34</f>
        <v>152.25</v>
      </c>
      <c r="G39" s="64"/>
      <c r="H39" s="67"/>
      <c r="I39" s="12"/>
      <c r="J39" s="68"/>
    </row>
    <row r="40" spans="3:15" x14ac:dyDescent="0.2">
      <c r="D40" s="3"/>
      <c r="E40" s="64"/>
      <c r="F40" s="66"/>
      <c r="G40" s="64"/>
      <c r="H40" s="67"/>
      <c r="I40" s="12"/>
      <c r="J40" s="68"/>
    </row>
    <row r="41" spans="3:15" x14ac:dyDescent="0.2">
      <c r="E41" s="64"/>
      <c r="F41" s="66" t="s">
        <v>501</v>
      </c>
      <c r="G41" s="64"/>
      <c r="H41" s="72" t="s">
        <v>419</v>
      </c>
      <c r="I41" s="12"/>
      <c r="J41" s="73" t="s">
        <v>420</v>
      </c>
    </row>
    <row r="42" spans="3:15" x14ac:dyDescent="0.2">
      <c r="C42" s="1" t="s">
        <v>569</v>
      </c>
      <c r="F42" s="63">
        <f>CE_Chile!D74</f>
        <v>39.07</v>
      </c>
      <c r="G42" s="189" t="s">
        <v>261</v>
      </c>
      <c r="H42" s="63">
        <f>CE_Chile!F74</f>
        <v>1.2</v>
      </c>
      <c r="I42" s="189" t="s">
        <v>262</v>
      </c>
      <c r="J42" s="90">
        <f>F42*H42</f>
        <v>46.884</v>
      </c>
    </row>
    <row r="43" spans="3:15" x14ac:dyDescent="0.2">
      <c r="C43" s="1" t="s">
        <v>570</v>
      </c>
      <c r="F43" s="63">
        <f>CE_Chile!D75</f>
        <v>0</v>
      </c>
      <c r="G43" s="189" t="s">
        <v>261</v>
      </c>
      <c r="H43" s="63">
        <f>CE_Chile!F75</f>
        <v>0</v>
      </c>
      <c r="I43" s="189" t="s">
        <v>262</v>
      </c>
      <c r="J43" s="90">
        <f>F43*H43</f>
        <v>0</v>
      </c>
    </row>
    <row r="44" spans="3:15" x14ac:dyDescent="0.2">
      <c r="D44" s="66"/>
      <c r="E44" s="64"/>
      <c r="F44" s="66"/>
      <c r="G44" s="64"/>
      <c r="H44" s="67"/>
      <c r="I44" s="12"/>
      <c r="J44" s="68"/>
    </row>
    <row r="45" spans="3:15" x14ac:dyDescent="0.2">
      <c r="C45" s="1" t="s">
        <v>421</v>
      </c>
      <c r="H45" s="90">
        <f>SUM(H27:H36)+J42+J43</f>
        <v>361.55795000000001</v>
      </c>
      <c r="I45" s="1" t="s">
        <v>283</v>
      </c>
      <c r="L45" s="78">
        <f>H45+H22+H46</f>
        <v>465.589225</v>
      </c>
    </row>
    <row r="46" spans="3:15" x14ac:dyDescent="0.2">
      <c r="C46" s="1" t="s">
        <v>422</v>
      </c>
      <c r="H46" s="96">
        <f>F38*0.08</f>
        <v>17.912000000000003</v>
      </c>
      <c r="I46" s="1" t="s">
        <v>283</v>
      </c>
    </row>
    <row r="47" spans="3:15" x14ac:dyDescent="0.2">
      <c r="C47" s="1" t="s">
        <v>401</v>
      </c>
      <c r="H47" s="90">
        <f>H45+H46</f>
        <v>379.46994999999998</v>
      </c>
      <c r="I47" s="1" t="s">
        <v>283</v>
      </c>
    </row>
    <row r="49" spans="1:15" s="6" customFormat="1" x14ac:dyDescent="0.2">
      <c r="A49" s="10"/>
      <c r="B49" s="191"/>
      <c r="C49" s="12" t="s">
        <v>450</v>
      </c>
      <c r="D49" s="12"/>
      <c r="E49" s="12"/>
      <c r="F49" s="12"/>
      <c r="G49" s="12"/>
      <c r="H49" s="91">
        <f>H47+H22</f>
        <v>465.589225</v>
      </c>
      <c r="I49" s="12" t="s">
        <v>283</v>
      </c>
      <c r="J49" s="12"/>
      <c r="K49" s="12"/>
      <c r="L49" s="12"/>
      <c r="M49" s="12"/>
      <c r="N49" s="1"/>
      <c r="O49" s="1"/>
    </row>
    <row r="50" spans="1:15" s="6" customFormat="1" x14ac:dyDescent="0.2">
      <c r="A50" s="10"/>
      <c r="B50" s="191"/>
      <c r="C50" s="12"/>
      <c r="D50" s="12"/>
      <c r="E50" s="12"/>
      <c r="F50" s="12"/>
      <c r="G50" s="12"/>
      <c r="H50" s="195"/>
      <c r="I50" s="12"/>
      <c r="J50" s="12"/>
      <c r="K50" s="12"/>
      <c r="L50" s="12"/>
      <c r="M50" s="12"/>
      <c r="N50" s="1"/>
      <c r="O50" s="1"/>
    </row>
    <row r="51" spans="1:15" s="6" customFormat="1" x14ac:dyDescent="0.2">
      <c r="A51" s="10"/>
      <c r="B51" s="191"/>
      <c r="C51" s="12" t="s">
        <v>663</v>
      </c>
      <c r="D51" s="12"/>
      <c r="E51" s="12"/>
      <c r="F51" s="12"/>
      <c r="G51" s="12"/>
      <c r="H51" s="91">
        <f>H49*(21-'R1'!O17)/1000</f>
        <v>8.3806060500000008</v>
      </c>
      <c r="I51" s="12" t="s">
        <v>665</v>
      </c>
      <c r="J51" s="12"/>
      <c r="K51" s="12"/>
      <c r="L51" s="12"/>
      <c r="M51" s="12"/>
      <c r="N51" s="1"/>
      <c r="O51" s="1"/>
    </row>
    <row r="53" spans="1:15" ht="15.75" x14ac:dyDescent="0.25">
      <c r="C53" s="86" t="s">
        <v>284</v>
      </c>
      <c r="D53" s="43"/>
      <c r="E53" s="43"/>
      <c r="F53" s="43"/>
      <c r="G53" s="43"/>
      <c r="H53" s="43"/>
      <c r="I53" s="43"/>
      <c r="J53" s="43"/>
      <c r="K53" s="43"/>
      <c r="L53" s="43"/>
      <c r="M53" s="43"/>
      <c r="N53" s="43"/>
      <c r="O53" s="43"/>
    </row>
    <row r="54" spans="1:15" x14ac:dyDescent="0.2">
      <c r="C54" s="61" t="s">
        <v>286</v>
      </c>
      <c r="D54" s="61"/>
      <c r="E54" s="61"/>
      <c r="F54" s="61"/>
      <c r="G54" s="61"/>
      <c r="H54" s="61"/>
      <c r="I54" s="61"/>
      <c r="J54" s="61"/>
      <c r="K54" s="61"/>
      <c r="L54" s="61"/>
      <c r="M54" s="61"/>
      <c r="N54" s="61"/>
      <c r="O54" s="61"/>
    </row>
    <row r="55" spans="1:15" x14ac:dyDescent="0.2">
      <c r="C55" s="1" t="s">
        <v>296</v>
      </c>
      <c r="H55" s="90">
        <v>198</v>
      </c>
      <c r="I55" s="1" t="s">
        <v>285</v>
      </c>
    </row>
    <row r="56" spans="1:15" x14ac:dyDescent="0.2">
      <c r="C56" s="1" t="s">
        <v>502</v>
      </c>
      <c r="H56" s="90">
        <f>1.7*D17</f>
        <v>188.785</v>
      </c>
      <c r="I56" s="1" t="s">
        <v>285</v>
      </c>
    </row>
    <row r="57" spans="1:15" x14ac:dyDescent="0.2">
      <c r="C57" s="1" t="s">
        <v>451</v>
      </c>
      <c r="H57" s="90">
        <f>1.7*D17</f>
        <v>188.785</v>
      </c>
      <c r="I57" s="1" t="s">
        <v>285</v>
      </c>
    </row>
    <row r="59" spans="1:15" x14ac:dyDescent="0.2">
      <c r="C59" s="1" t="s">
        <v>402</v>
      </c>
      <c r="H59" s="90">
        <f>H55+H57</f>
        <v>386.78499999999997</v>
      </c>
      <c r="I59" s="1" t="s">
        <v>285</v>
      </c>
    </row>
    <row r="60" spans="1:15" x14ac:dyDescent="0.2">
      <c r="K60" s="1">
        <v>0.2</v>
      </c>
    </row>
    <row r="61" spans="1:15" x14ac:dyDescent="0.2">
      <c r="C61" s="1" t="s">
        <v>298</v>
      </c>
    </row>
    <row r="62" spans="1:15" x14ac:dyDescent="0.2">
      <c r="C62" s="92"/>
      <c r="D62" s="92" t="s">
        <v>417</v>
      </c>
      <c r="E62" s="92"/>
      <c r="F62" s="92" t="s">
        <v>294</v>
      </c>
      <c r="G62" s="92"/>
      <c r="H62" s="92" t="s">
        <v>293</v>
      </c>
      <c r="I62" s="92"/>
      <c r="J62" s="92" t="s">
        <v>423</v>
      </c>
      <c r="K62" s="92"/>
      <c r="L62" s="92" t="s">
        <v>424</v>
      </c>
      <c r="M62" s="92"/>
      <c r="N62" s="92" t="s">
        <v>288</v>
      </c>
      <c r="O62" s="61"/>
    </row>
    <row r="63" spans="1:15" x14ac:dyDescent="0.2">
      <c r="C63" s="1" t="s">
        <v>299</v>
      </c>
      <c r="D63" s="60">
        <f>CE_Chile!D80</f>
        <v>0.52</v>
      </c>
      <c r="E63" s="1" t="s">
        <v>261</v>
      </c>
      <c r="F63" s="60">
        <f>CE_Chile!F80</f>
        <v>2.3199999999999998</v>
      </c>
      <c r="G63" s="1" t="s">
        <v>261</v>
      </c>
      <c r="H63" s="90">
        <f>'R1'!K2</f>
        <v>91.120877881564851</v>
      </c>
      <c r="I63" s="9"/>
      <c r="J63" s="60">
        <f>CE_Chile!H80</f>
        <v>0.87</v>
      </c>
      <c r="K63" s="1" t="s">
        <v>261</v>
      </c>
      <c r="L63" s="60">
        <f>CE_Chile!L80</f>
        <v>0.85</v>
      </c>
      <c r="M63" s="1" t="s">
        <v>262</v>
      </c>
      <c r="N63" s="90">
        <f t="shared" ref="N63:N68" si="2">0.9*D63*F63*H63*J63*L63</f>
        <v>73.162731530644663</v>
      </c>
    </row>
    <row r="64" spans="1:15" x14ac:dyDescent="0.2">
      <c r="C64" s="1" t="s">
        <v>300</v>
      </c>
      <c r="D64" s="60">
        <f>CE_Chile!D81</f>
        <v>0</v>
      </c>
      <c r="E64" s="1" t="s">
        <v>261</v>
      </c>
      <c r="F64" s="60">
        <f>CE_Chile!F81</f>
        <v>0</v>
      </c>
      <c r="G64" s="1" t="s">
        <v>261</v>
      </c>
      <c r="H64" s="90">
        <f>'R1'!L2</f>
        <v>80.601524024590972</v>
      </c>
      <c r="I64" s="9"/>
      <c r="J64" s="60">
        <f>CE_Chile!H81</f>
        <v>0</v>
      </c>
      <c r="K64" s="1" t="s">
        <v>261</v>
      </c>
      <c r="L64" s="60">
        <f>CE_Chile!L81</f>
        <v>0</v>
      </c>
      <c r="M64" s="1" t="s">
        <v>262</v>
      </c>
      <c r="N64" s="90">
        <f t="shared" si="2"/>
        <v>0</v>
      </c>
    </row>
    <row r="65" spans="3:15" x14ac:dyDescent="0.2">
      <c r="C65" s="1" t="s">
        <v>301</v>
      </c>
      <c r="D65" s="60">
        <f>CE_Chile!D82</f>
        <v>0.71</v>
      </c>
      <c r="E65" s="1" t="s">
        <v>261</v>
      </c>
      <c r="F65" s="60">
        <f>CE_Chile!F82</f>
        <v>20.79</v>
      </c>
      <c r="G65" s="1" t="s">
        <v>261</v>
      </c>
      <c r="H65" s="90">
        <f>'R1'!M2</f>
        <v>60.981344207490658</v>
      </c>
      <c r="I65" s="9"/>
      <c r="J65" s="60">
        <f>CE_Chile!H82</f>
        <v>0.87</v>
      </c>
      <c r="K65" s="1" t="s">
        <v>261</v>
      </c>
      <c r="L65" s="60">
        <f>CE_Chile!L82</f>
        <v>0.85</v>
      </c>
      <c r="M65" s="1" t="s">
        <v>262</v>
      </c>
      <c r="N65" s="90">
        <f t="shared" si="2"/>
        <v>599.08786000675377</v>
      </c>
    </row>
    <row r="66" spans="3:15" x14ac:dyDescent="0.2">
      <c r="C66" s="1" t="s">
        <v>302</v>
      </c>
      <c r="D66" s="60">
        <f>CE_Chile!D83</f>
        <v>0</v>
      </c>
      <c r="E66" s="1" t="s">
        <v>261</v>
      </c>
      <c r="F66" s="60">
        <f>CE_Chile!F83</f>
        <v>0</v>
      </c>
      <c r="G66" s="1" t="s">
        <v>261</v>
      </c>
      <c r="H66" s="90">
        <f>'R1'!N2</f>
        <v>42.010515487850533</v>
      </c>
      <c r="I66" s="9"/>
      <c r="J66" s="60">
        <f>CE_Chile!H83</f>
        <v>0</v>
      </c>
      <c r="K66" s="1" t="s">
        <v>261</v>
      </c>
      <c r="L66" s="60">
        <f>CE_Chile!L83</f>
        <v>0</v>
      </c>
      <c r="M66" s="1" t="s">
        <v>262</v>
      </c>
      <c r="N66" s="90">
        <f t="shared" si="2"/>
        <v>0</v>
      </c>
    </row>
    <row r="67" spans="3:15" x14ac:dyDescent="0.2">
      <c r="C67" s="1" t="s">
        <v>303</v>
      </c>
      <c r="D67" s="60">
        <f>CE_Chile!D84</f>
        <v>0.45</v>
      </c>
      <c r="E67" s="1" t="s">
        <v>261</v>
      </c>
      <c r="F67" s="60">
        <f>CE_Chile!F84</f>
        <v>0.46</v>
      </c>
      <c r="G67" s="1" t="s">
        <v>261</v>
      </c>
      <c r="H67" s="90">
        <f>'R1'!O2</f>
        <v>36.740909737150353</v>
      </c>
      <c r="I67" s="9"/>
      <c r="J67" s="60">
        <f>CE_Chile!H84</f>
        <v>0.87</v>
      </c>
      <c r="K67" s="1" t="s">
        <v>261</v>
      </c>
      <c r="L67" s="60">
        <f>CE_Chile!L84</f>
        <v>0.85</v>
      </c>
      <c r="M67" s="1" t="s">
        <v>262</v>
      </c>
      <c r="N67" s="90">
        <f t="shared" si="2"/>
        <v>5.0617528824410067</v>
      </c>
    </row>
    <row r="68" spans="3:15" x14ac:dyDescent="0.2">
      <c r="C68" s="1" t="s">
        <v>287</v>
      </c>
      <c r="D68" s="60">
        <f>CE_Chile!D85</f>
        <v>0</v>
      </c>
      <c r="E68" s="1" t="s">
        <v>261</v>
      </c>
      <c r="F68" s="60">
        <f>CE_Chile!F85</f>
        <v>0</v>
      </c>
      <c r="G68" s="1" t="s">
        <v>261</v>
      </c>
      <c r="H68" s="90">
        <f>'R1'!P2</f>
        <v>106.35875673371312</v>
      </c>
      <c r="I68" s="9"/>
      <c r="J68" s="60">
        <f>CE_Chile!H85</f>
        <v>0</v>
      </c>
      <c r="K68" s="1" t="s">
        <v>261</v>
      </c>
      <c r="L68" s="60">
        <f>CE_Chile!L85</f>
        <v>0</v>
      </c>
      <c r="M68" s="1" t="s">
        <v>262</v>
      </c>
      <c r="N68" s="90">
        <f t="shared" si="2"/>
        <v>0</v>
      </c>
    </row>
    <row r="69" spans="3:15" x14ac:dyDescent="0.2">
      <c r="D69" s="74" t="s">
        <v>452</v>
      </c>
      <c r="F69" s="74" t="s">
        <v>453</v>
      </c>
      <c r="H69" s="67"/>
      <c r="I69" s="75"/>
      <c r="J69" s="76"/>
      <c r="K69" s="12"/>
      <c r="L69" s="76"/>
      <c r="M69" s="12"/>
      <c r="N69" s="67"/>
    </row>
    <row r="70" spans="3:15" x14ac:dyDescent="0.2">
      <c r="D70" s="127">
        <f>(D63*F63+D64*F64+D65*F65+D66*F66+D67*F67+D68*F68)/F70</f>
        <v>0.68622401357658036</v>
      </c>
      <c r="F70" s="128">
        <f>SUM(F63:F68)</f>
        <v>23.57</v>
      </c>
      <c r="H70" s="67"/>
      <c r="I70" s="75"/>
      <c r="J70" s="76"/>
      <c r="K70" s="12"/>
      <c r="L70" s="127">
        <f>(L63*F63+L64*F64+L65*F65+L66*F66+L67*F67+L68*F68)/F70</f>
        <v>0.85000000000000009</v>
      </c>
      <c r="M70" s="12"/>
      <c r="N70" s="67"/>
    </row>
    <row r="71" spans="3:15" ht="6.75" customHeight="1" x14ac:dyDescent="0.2">
      <c r="N71" s="78"/>
    </row>
    <row r="72" spans="3:15" x14ac:dyDescent="0.2">
      <c r="C72" s="1" t="s">
        <v>403</v>
      </c>
      <c r="N72" s="90">
        <f>SUM(N63:N68)</f>
        <v>677.31234441983952</v>
      </c>
    </row>
    <row r="73" spans="3:15" x14ac:dyDescent="0.2">
      <c r="C73" s="1" t="s">
        <v>404</v>
      </c>
      <c r="H73" s="90">
        <f>N72+H59</f>
        <v>1064.0973444198394</v>
      </c>
      <c r="I73" s="1" t="s">
        <v>285</v>
      </c>
    </row>
    <row r="75" spans="3:15" ht="15.75" x14ac:dyDescent="0.25">
      <c r="C75" s="86" t="s">
        <v>289</v>
      </c>
      <c r="D75" s="43"/>
      <c r="E75" s="43"/>
      <c r="F75" s="43"/>
      <c r="G75" s="43"/>
      <c r="H75" s="43"/>
      <c r="I75" s="43"/>
      <c r="J75" s="43"/>
      <c r="K75" s="43"/>
      <c r="L75" s="43"/>
      <c r="M75" s="43"/>
      <c r="N75" s="43"/>
      <c r="O75" s="43"/>
    </row>
    <row r="76" spans="3:15" ht="14.25" x14ac:dyDescent="0.2">
      <c r="C76" s="1" t="s">
        <v>487</v>
      </c>
      <c r="H76" s="90">
        <f>H73/H49</f>
        <v>2.2854853318820672</v>
      </c>
      <c r="I76" s="1" t="s">
        <v>292</v>
      </c>
    </row>
    <row r="77" spans="3:15" ht="14.25" x14ac:dyDescent="0.25">
      <c r="C77" s="1" t="s">
        <v>488</v>
      </c>
      <c r="H77" s="90">
        <v>19</v>
      </c>
      <c r="I77" s="1" t="s">
        <v>292</v>
      </c>
    </row>
    <row r="78" spans="3:15" ht="14.25" x14ac:dyDescent="0.25">
      <c r="C78" s="1" t="s">
        <v>489</v>
      </c>
      <c r="H78" s="90">
        <f>IF(J78&lt;5,5,J78)</f>
        <v>16.714514668117932</v>
      </c>
      <c r="I78" s="1" t="s">
        <v>292</v>
      </c>
      <c r="J78" s="90">
        <f>H77-H76</f>
        <v>16.714514668117932</v>
      </c>
    </row>
    <row r="79" spans="3:15" x14ac:dyDescent="0.2">
      <c r="H79" s="78"/>
    </row>
    <row r="80" spans="3:15" ht="15.75" x14ac:dyDescent="0.25">
      <c r="C80" s="86" t="s">
        <v>290</v>
      </c>
      <c r="D80" s="43"/>
      <c r="E80" s="43"/>
      <c r="F80" s="43"/>
      <c r="G80" s="43"/>
      <c r="H80" s="47"/>
      <c r="I80" s="43"/>
      <c r="J80" s="43"/>
      <c r="K80" s="43"/>
      <c r="L80" s="43"/>
      <c r="M80" s="43"/>
      <c r="N80" s="43"/>
      <c r="O80" s="43"/>
    </row>
    <row r="81" spans="3:15" ht="14.25" x14ac:dyDescent="0.25">
      <c r="C81" s="1" t="s">
        <v>490</v>
      </c>
      <c r="H81" s="129">
        <f>IF(J81&lt;0,0,J81)</f>
        <v>1162.9745282943941</v>
      </c>
      <c r="I81" s="1" t="s">
        <v>292</v>
      </c>
      <c r="J81" s="129">
        <f>'R1'!J17*H78+'R1'!K17*H78^2+'R1'!L17*H78^3+'R1'!M17*H78^4</f>
        <v>1162.9745282943941</v>
      </c>
    </row>
    <row r="83" spans="3:15" ht="15.75" x14ac:dyDescent="0.25">
      <c r="C83" s="86" t="s">
        <v>495</v>
      </c>
      <c r="D83" s="43"/>
      <c r="E83" s="43"/>
      <c r="F83" s="43"/>
      <c r="G83" s="43"/>
      <c r="H83" s="43"/>
      <c r="I83" s="43"/>
      <c r="J83" s="43"/>
      <c r="K83" s="43"/>
      <c r="L83" s="43"/>
      <c r="M83" s="43"/>
      <c r="N83" s="43"/>
      <c r="O83" s="43"/>
    </row>
    <row r="84" spans="3:15" x14ac:dyDescent="0.2">
      <c r="C84" s="1" t="s">
        <v>304</v>
      </c>
      <c r="H84" s="130">
        <f>0.024*H81*H49</f>
        <v>12995.241823759859</v>
      </c>
      <c r="I84" s="1" t="s">
        <v>291</v>
      </c>
    </row>
    <row r="85" spans="3:15" x14ac:dyDescent="0.2">
      <c r="H85" s="131">
        <f>H84/D17</f>
        <v>117.02153825988168</v>
      </c>
      <c r="I85" s="1" t="s">
        <v>405</v>
      </c>
    </row>
    <row r="86" spans="3:15" x14ac:dyDescent="0.2">
      <c r="H86" s="131">
        <f>100*H84/Referencia!G45</f>
        <v>75.960620113150853</v>
      </c>
      <c r="I86" s="1" t="s">
        <v>391</v>
      </c>
    </row>
    <row r="87" spans="3:15" x14ac:dyDescent="0.2">
      <c r="H87" s="79"/>
    </row>
    <row r="88" spans="3:15" ht="15.75" x14ac:dyDescent="0.25">
      <c r="C88" s="86" t="s">
        <v>478</v>
      </c>
      <c r="D88" s="43"/>
      <c r="E88" s="43"/>
      <c r="F88" s="43"/>
      <c r="G88" s="43"/>
      <c r="H88" s="43"/>
      <c r="I88" s="43"/>
      <c r="J88" s="43"/>
      <c r="K88" s="43"/>
      <c r="L88" s="43"/>
      <c r="M88" s="43"/>
      <c r="N88" s="43"/>
      <c r="O88" s="43"/>
    </row>
    <row r="89" spans="3:15" x14ac:dyDescent="0.2">
      <c r="C89" s="1" t="s">
        <v>479</v>
      </c>
      <c r="H89" s="205">
        <f>IF('R1'!D136=1,0,CE_Chile!H95)</f>
        <v>0</v>
      </c>
      <c r="I89" s="1" t="s">
        <v>405</v>
      </c>
    </row>
    <row r="90" spans="3:15" x14ac:dyDescent="0.2">
      <c r="C90" s="1" t="s">
        <v>484</v>
      </c>
      <c r="H90" s="205">
        <f>IF('R1'!D136=1,0,CE_Chile!H96)</f>
        <v>0</v>
      </c>
      <c r="I90" s="1" t="s">
        <v>405</v>
      </c>
    </row>
    <row r="91" spans="3:15" x14ac:dyDescent="0.2">
      <c r="H91" s="80"/>
    </row>
    <row r="92" spans="3:15" ht="15.75" x14ac:dyDescent="0.25">
      <c r="C92" s="86" t="s">
        <v>955</v>
      </c>
      <c r="D92" s="43"/>
      <c r="E92" s="43"/>
      <c r="F92" s="43"/>
      <c r="G92" s="43"/>
      <c r="H92" s="710"/>
      <c r="I92" s="43"/>
      <c r="J92" s="43"/>
      <c r="K92" s="43"/>
      <c r="L92" s="43"/>
      <c r="M92" s="43"/>
      <c r="N92" s="43"/>
      <c r="O92" s="43"/>
    </row>
    <row r="93" spans="3:15" x14ac:dyDescent="0.2">
      <c r="C93" s="1" t="s">
        <v>952</v>
      </c>
      <c r="H93" s="702">
        <f>Referencia!G52</f>
        <v>154.05553309802701</v>
      </c>
      <c r="I93" s="1" t="s">
        <v>291</v>
      </c>
    </row>
    <row r="94" spans="3:15" x14ac:dyDescent="0.2">
      <c r="C94" s="1" t="s">
        <v>953</v>
      </c>
      <c r="H94" s="711">
        <f>Referencia!G55</f>
        <v>0</v>
      </c>
    </row>
    <row r="95" spans="3:15" x14ac:dyDescent="0.2">
      <c r="H95" s="702"/>
    </row>
    <row r="96" spans="3:15" x14ac:dyDescent="0.2">
      <c r="C96" s="703" t="s">
        <v>954</v>
      </c>
      <c r="D96" s="704"/>
      <c r="E96" s="704"/>
      <c r="F96" s="704"/>
      <c r="G96" s="704"/>
      <c r="H96" s="705"/>
      <c r="I96" s="704"/>
      <c r="J96" s="704"/>
      <c r="K96" s="704"/>
      <c r="L96" s="704"/>
      <c r="M96" s="704"/>
      <c r="N96" s="704"/>
      <c r="O96" s="706"/>
    </row>
    <row r="97" spans="3:15" x14ac:dyDescent="0.2">
      <c r="C97" s="466" t="s">
        <v>480</v>
      </c>
      <c r="D97" s="24"/>
      <c r="E97" s="24"/>
      <c r="F97" s="24"/>
      <c r="G97" s="24"/>
      <c r="H97" s="709">
        <f>IF(H94=1,0,H108)</f>
        <v>12995.241823759859</v>
      </c>
      <c r="I97" s="24" t="s">
        <v>291</v>
      </c>
      <c r="J97" s="24"/>
      <c r="K97" s="24"/>
      <c r="L97" s="24"/>
      <c r="M97" s="24"/>
      <c r="N97" s="24"/>
      <c r="O97" s="707"/>
    </row>
    <row r="98" spans="3:15" x14ac:dyDescent="0.2">
      <c r="C98" s="466"/>
      <c r="D98" s="24"/>
      <c r="E98" s="24"/>
      <c r="F98" s="24"/>
      <c r="G98" s="24"/>
      <c r="H98" s="131">
        <f>IF(H94=1,0,H109)</f>
        <v>117.02153825988168</v>
      </c>
      <c r="I98" s="24" t="s">
        <v>405</v>
      </c>
      <c r="J98" s="24"/>
      <c r="K98" s="24"/>
      <c r="L98" s="24"/>
      <c r="M98" s="24"/>
      <c r="N98" s="24"/>
      <c r="O98" s="707"/>
    </row>
    <row r="99" spans="3:15" x14ac:dyDescent="0.2">
      <c r="C99" s="488"/>
      <c r="D99" s="490"/>
      <c r="E99" s="490"/>
      <c r="F99" s="490"/>
      <c r="G99" s="490"/>
      <c r="H99" s="131">
        <f>IF(H94=1,0,H110)</f>
        <v>75.960620113150853</v>
      </c>
      <c r="I99" s="490" t="s">
        <v>391</v>
      </c>
      <c r="J99" s="490"/>
      <c r="K99" s="490"/>
      <c r="L99" s="490"/>
      <c r="M99" s="490"/>
      <c r="N99" s="490"/>
      <c r="O99" s="708"/>
    </row>
    <row r="100" spans="3:15" x14ac:dyDescent="0.2">
      <c r="H100" s="80"/>
    </row>
    <row r="101" spans="3:15" x14ac:dyDescent="0.2">
      <c r="C101" s="1" t="s">
        <v>956</v>
      </c>
      <c r="H101" s="80"/>
    </row>
    <row r="102" spans="3:15" x14ac:dyDescent="0.2">
      <c r="C102" s="1" t="s">
        <v>480</v>
      </c>
      <c r="H102" s="130">
        <f>H103*D17</f>
        <v>12995.241823759859</v>
      </c>
      <c r="I102" s="1" t="s">
        <v>291</v>
      </c>
    </row>
    <row r="103" spans="3:15" x14ac:dyDescent="0.2">
      <c r="H103" s="131">
        <f>IF(H89=0,H85,H89)</f>
        <v>117.02153825988168</v>
      </c>
      <c r="I103" s="1" t="s">
        <v>405</v>
      </c>
    </row>
    <row r="104" spans="3:15" x14ac:dyDescent="0.2">
      <c r="H104" s="133">
        <f>100*(H103/Referencia!G52)</f>
        <v>75.960620113150853</v>
      </c>
      <c r="I104" s="1" t="s">
        <v>391</v>
      </c>
    </row>
    <row r="105" spans="3:15" x14ac:dyDescent="0.2">
      <c r="H105" s="80"/>
    </row>
    <row r="106" spans="3:15" x14ac:dyDescent="0.2">
      <c r="H106" s="80"/>
    </row>
    <row r="107" spans="3:15" ht="15.75" x14ac:dyDescent="0.25">
      <c r="C107" s="86" t="s">
        <v>605</v>
      </c>
      <c r="D107" s="43"/>
      <c r="E107" s="43"/>
      <c r="F107" s="43"/>
      <c r="G107" s="43"/>
      <c r="H107" s="43"/>
      <c r="I107" s="43"/>
      <c r="J107" s="43"/>
      <c r="K107" s="43"/>
      <c r="L107" s="43"/>
      <c r="M107" s="43"/>
      <c r="N107" s="43"/>
      <c r="O107" s="43"/>
    </row>
    <row r="108" spans="3:15" x14ac:dyDescent="0.2">
      <c r="C108" s="1" t="s">
        <v>480</v>
      </c>
      <c r="H108" s="130">
        <f>H109*D17</f>
        <v>12995.241823759859</v>
      </c>
      <c r="I108" s="1" t="s">
        <v>291</v>
      </c>
    </row>
    <row r="109" spans="3:15" x14ac:dyDescent="0.2">
      <c r="H109" s="131">
        <f>IF(H94=1,0,H103)</f>
        <v>117.02153825988168</v>
      </c>
      <c r="I109" s="1" t="s">
        <v>405</v>
      </c>
    </row>
    <row r="110" spans="3:15" x14ac:dyDescent="0.2">
      <c r="H110" s="133">
        <f>100*(H109/Referencia!G52)</f>
        <v>75.960620113150853</v>
      </c>
      <c r="I110" s="1" t="s">
        <v>391</v>
      </c>
    </row>
    <row r="111" spans="3:15" x14ac:dyDescent="0.2">
      <c r="H111" s="80"/>
    </row>
    <row r="112" spans="3:15" x14ac:dyDescent="0.2">
      <c r="H112" s="80"/>
    </row>
    <row r="113" spans="1:15" ht="15.75" x14ac:dyDescent="0.25">
      <c r="C113" s="86" t="s">
        <v>306</v>
      </c>
      <c r="D113" s="43"/>
      <c r="E113" s="43"/>
      <c r="F113" s="43"/>
      <c r="G113" s="43"/>
      <c r="H113" s="43"/>
      <c r="I113" s="43"/>
      <c r="J113" s="43"/>
      <c r="K113" s="43"/>
      <c r="L113" s="43"/>
      <c r="M113" s="43"/>
      <c r="N113" s="43"/>
      <c r="O113" s="43"/>
    </row>
    <row r="114" spans="1:15" s="11" customFormat="1" ht="15.75" x14ac:dyDescent="0.25">
      <c r="B114" s="190"/>
      <c r="C114" s="132"/>
      <c r="D114" s="126"/>
      <c r="E114" s="126"/>
      <c r="F114" s="126"/>
      <c r="G114" s="126"/>
      <c r="H114" s="126"/>
      <c r="I114" s="126"/>
      <c r="J114" s="126"/>
      <c r="K114" s="126"/>
      <c r="L114" s="126"/>
      <c r="M114" s="126"/>
      <c r="N114" s="126"/>
      <c r="O114" s="126"/>
    </row>
    <row r="115" spans="1:15" s="11" customFormat="1" x14ac:dyDescent="0.2">
      <c r="B115" s="190"/>
      <c r="C115" s="1" t="s">
        <v>280</v>
      </c>
      <c r="D115" s="12"/>
      <c r="E115" s="12"/>
      <c r="F115" s="12"/>
      <c r="G115" s="12"/>
      <c r="H115" s="91">
        <f>IF(D17&lt;350,7.704*(D17/100)-3.6518*(D17/100)^2+0.99408*(D17/100)^3-0.1122751*(D17/100)^4,8)</f>
        <v>5.2424786537099459</v>
      </c>
      <c r="I115" s="12"/>
      <c r="J115" s="12"/>
      <c r="K115" s="12"/>
      <c r="L115" s="12"/>
      <c r="M115" s="12"/>
      <c r="N115" s="12"/>
      <c r="O115" s="12"/>
    </row>
    <row r="116" spans="1:15" s="11" customFormat="1" ht="15.75" x14ac:dyDescent="0.25">
      <c r="B116" s="190"/>
      <c r="C116" s="109"/>
      <c r="D116" s="12"/>
      <c r="E116" s="12"/>
      <c r="F116" s="12"/>
      <c r="G116" s="12"/>
      <c r="H116" s="12"/>
      <c r="I116" s="12"/>
      <c r="J116" s="12"/>
      <c r="K116" s="12"/>
      <c r="L116" s="12"/>
      <c r="M116" s="12"/>
      <c r="N116" s="12"/>
      <c r="O116" s="12"/>
    </row>
    <row r="117" spans="1:15" x14ac:dyDescent="0.2">
      <c r="C117" s="1" t="s">
        <v>468</v>
      </c>
      <c r="H117" s="90">
        <f>'R1'!J34*H115</f>
        <v>2456.6254971284807</v>
      </c>
      <c r="I117" s="1" t="s">
        <v>291</v>
      </c>
    </row>
    <row r="118" spans="1:15" x14ac:dyDescent="0.2">
      <c r="H118" s="90">
        <f>H117/D17</f>
        <v>22.121796462210543</v>
      </c>
      <c r="I118" s="1" t="s">
        <v>406</v>
      </c>
    </row>
    <row r="119" spans="1:15" x14ac:dyDescent="0.2">
      <c r="H119" s="131">
        <f>100*H117/Referencia!G59</f>
        <v>100</v>
      </c>
      <c r="I119" s="1" t="s">
        <v>391</v>
      </c>
    </row>
    <row r="121" spans="1:15" ht="15.75" x14ac:dyDescent="0.25">
      <c r="C121" s="86" t="s">
        <v>305</v>
      </c>
      <c r="D121" s="43"/>
      <c r="E121" s="43"/>
      <c r="F121" s="43"/>
      <c r="G121" s="43"/>
      <c r="H121" s="43"/>
      <c r="I121" s="43"/>
      <c r="J121" s="43"/>
      <c r="K121" s="43"/>
      <c r="L121" s="43"/>
      <c r="M121" s="43"/>
      <c r="N121" s="43"/>
      <c r="O121" s="43"/>
    </row>
    <row r="122" spans="1:15" ht="15.75" x14ac:dyDescent="0.25">
      <c r="C122" s="132"/>
      <c r="D122" s="126"/>
      <c r="E122" s="126"/>
      <c r="F122" s="126"/>
      <c r="G122" s="126"/>
      <c r="H122" s="126"/>
      <c r="I122" s="126"/>
      <c r="J122" s="126"/>
      <c r="K122" s="126"/>
      <c r="L122" s="126"/>
      <c r="M122" s="126"/>
      <c r="N122" s="126"/>
      <c r="O122" s="126"/>
    </row>
    <row r="123" spans="1:15" s="6" customFormat="1" x14ac:dyDescent="0.2">
      <c r="A123" s="10"/>
      <c r="B123" s="191"/>
      <c r="C123" s="12" t="s">
        <v>327</v>
      </c>
      <c r="D123" s="12"/>
      <c r="E123" s="12"/>
      <c r="F123" s="12"/>
      <c r="G123" s="12"/>
      <c r="H123" s="91">
        <f>(D28+D29)/D17</f>
        <v>0.21224673570463756</v>
      </c>
      <c r="I123" s="12" t="s">
        <v>330</v>
      </c>
      <c r="J123" s="12"/>
      <c r="K123" s="12"/>
      <c r="L123" s="12"/>
      <c r="M123" s="12"/>
      <c r="N123" s="12"/>
      <c r="O123" s="1"/>
    </row>
    <row r="124" spans="1:15" s="6" customFormat="1" x14ac:dyDescent="0.2">
      <c r="A124" s="10"/>
      <c r="B124" s="191"/>
      <c r="C124" s="12" t="s">
        <v>328</v>
      </c>
      <c r="D124" s="12"/>
      <c r="E124" s="12"/>
      <c r="F124" s="12"/>
      <c r="G124" s="12"/>
      <c r="H124" s="134">
        <f>0.5*D70</f>
        <v>0.34311200678829018</v>
      </c>
      <c r="I124" s="12" t="s">
        <v>330</v>
      </c>
      <c r="J124" s="12"/>
      <c r="K124" s="12"/>
      <c r="L124" s="12"/>
      <c r="M124" s="12"/>
      <c r="N124" s="12"/>
      <c r="O124" s="1"/>
    </row>
    <row r="125" spans="1:15" s="6" customFormat="1" x14ac:dyDescent="0.2">
      <c r="A125" s="10"/>
      <c r="B125" s="191"/>
      <c r="C125" s="12" t="s">
        <v>329</v>
      </c>
      <c r="D125" s="12"/>
      <c r="E125" s="12"/>
      <c r="F125" s="12"/>
      <c r="G125" s="12"/>
      <c r="H125" s="130">
        <f>300/(H123*H124*0.4)</f>
        <v>10298.745540765287</v>
      </c>
      <c r="I125" s="12" t="s">
        <v>331</v>
      </c>
      <c r="J125" s="12"/>
      <c r="K125" s="12"/>
      <c r="L125" s="12"/>
      <c r="M125" s="12"/>
      <c r="N125" s="12"/>
      <c r="O125" s="1"/>
    </row>
    <row r="126" spans="1:15" s="6" customFormat="1" x14ac:dyDescent="0.2">
      <c r="A126" s="10"/>
      <c r="B126" s="191"/>
      <c r="C126" s="12" t="s">
        <v>332</v>
      </c>
      <c r="D126" s="12"/>
      <c r="E126" s="12"/>
      <c r="F126" s="12"/>
      <c r="G126" s="12"/>
      <c r="H126" s="129">
        <f>IF(L126&lt;0,0,L126)</f>
        <v>2938.3280823506934</v>
      </c>
      <c r="I126" s="3" t="s">
        <v>341</v>
      </c>
      <c r="J126" s="12"/>
      <c r="K126" s="12"/>
      <c r="L126" s="714">
        <f>IF(H125&gt;9000,'R1'!J44+'R1'!K44*(H125/1000)+'R1'!L44*(H125/1000)^2+'R1'!M44*(H125/1000)^3+'R1'!N44*(H125/1000)^4,'R1'!J52+'R1'!K52*(H125/1000)+'R1'!L52*(H125/1000)^2+'R1'!M52*(H125/1000)^3+'R1'!N52*(H125/1000)^4)</f>
        <v>2938.3280823506934</v>
      </c>
      <c r="M126" s="12"/>
      <c r="N126" s="448">
        <f>IF(L126&lt;0,0,L126)</f>
        <v>2938.3280823506934</v>
      </c>
      <c r="O126" s="1"/>
    </row>
    <row r="127" spans="1:15" s="19" customFormat="1" x14ac:dyDescent="0.2">
      <c r="B127" s="192"/>
      <c r="C127" s="3"/>
      <c r="D127" s="3"/>
      <c r="E127" s="3"/>
      <c r="F127" s="3"/>
      <c r="G127" s="3"/>
      <c r="H127" s="81"/>
      <c r="I127" s="3"/>
      <c r="J127" s="3"/>
      <c r="K127" s="3"/>
      <c r="L127" s="3"/>
      <c r="M127" s="3"/>
      <c r="N127" s="3"/>
      <c r="O127" s="3"/>
    </row>
    <row r="128" spans="1:15" s="6" customFormat="1" x14ac:dyDescent="0.2">
      <c r="A128" s="10"/>
      <c r="B128" s="191"/>
      <c r="C128" s="1" t="s">
        <v>310</v>
      </c>
      <c r="D128" s="12"/>
      <c r="E128" s="12"/>
      <c r="F128" s="12"/>
      <c r="G128" s="12"/>
      <c r="H128" s="130">
        <f>H129*D17</f>
        <v>628.18523869455078</v>
      </c>
      <c r="I128" s="1" t="s">
        <v>291</v>
      </c>
      <c r="J128" s="12"/>
      <c r="K128" s="12"/>
      <c r="L128" s="12"/>
      <c r="M128" s="12"/>
      <c r="N128" s="12"/>
      <c r="O128" s="1"/>
    </row>
    <row r="129" spans="3:16" x14ac:dyDescent="0.2">
      <c r="H129" s="91">
        <f>(5475-N126)*2.23/1000</f>
        <v>5.6567783763579538</v>
      </c>
      <c r="I129" s="1" t="s">
        <v>405</v>
      </c>
    </row>
    <row r="130" spans="3:16" x14ac:dyDescent="0.2">
      <c r="H130" s="131">
        <f>100*H128/Referencia!G68</f>
        <v>100</v>
      </c>
      <c r="I130" s="1" t="s">
        <v>391</v>
      </c>
    </row>
    <row r="131" spans="3:16" x14ac:dyDescent="0.2">
      <c r="H131" s="79"/>
      <c r="P131" s="22"/>
    </row>
    <row r="132" spans="3:16" ht="15.75" x14ac:dyDescent="0.25">
      <c r="C132" s="86" t="s">
        <v>503</v>
      </c>
      <c r="D132" s="43"/>
      <c r="E132" s="43"/>
      <c r="F132" s="43"/>
      <c r="G132" s="43"/>
      <c r="H132" s="43"/>
      <c r="I132" s="43"/>
      <c r="J132" s="43"/>
      <c r="K132" s="43"/>
      <c r="L132" s="43"/>
      <c r="M132" s="43"/>
      <c r="N132" s="43"/>
      <c r="O132" s="43"/>
    </row>
    <row r="133" spans="3:16" x14ac:dyDescent="0.2">
      <c r="C133" s="126"/>
      <c r="D133" s="126"/>
      <c r="E133" s="126"/>
      <c r="F133" s="126"/>
      <c r="G133" s="126"/>
      <c r="H133" s="126"/>
      <c r="I133" s="126"/>
      <c r="J133" s="126"/>
      <c r="K133" s="126"/>
      <c r="L133" s="126"/>
      <c r="M133" s="126"/>
      <c r="N133" s="126"/>
      <c r="O133" s="126"/>
    </row>
    <row r="134" spans="3:16" x14ac:dyDescent="0.2">
      <c r="C134" s="1" t="s">
        <v>307</v>
      </c>
      <c r="H134" s="135">
        <f>H108+H117+H128</f>
        <v>16080.052559582891</v>
      </c>
      <c r="I134" s="1" t="s">
        <v>291</v>
      </c>
    </row>
    <row r="135" spans="3:16" x14ac:dyDescent="0.2">
      <c r="H135" s="90">
        <f>H134/D17</f>
        <v>144.80011309845017</v>
      </c>
      <c r="I135" s="1" t="s">
        <v>405</v>
      </c>
    </row>
    <row r="136" spans="3:16" x14ac:dyDescent="0.2">
      <c r="H136" s="131">
        <f>100*H134/Referencia!G72</f>
        <v>79.633086851307965</v>
      </c>
      <c r="I136" s="1" t="s">
        <v>391</v>
      </c>
    </row>
    <row r="137" spans="3:16" x14ac:dyDescent="0.2">
      <c r="H137" s="79"/>
    </row>
    <row r="138" spans="3:16" ht="6.75" customHeight="1" x14ac:dyDescent="0.2"/>
    <row r="139" spans="3:16" ht="15.75" x14ac:dyDescent="0.25">
      <c r="C139" s="86" t="s">
        <v>311</v>
      </c>
      <c r="D139" s="43"/>
      <c r="E139" s="43"/>
      <c r="F139" s="43"/>
      <c r="G139" s="43"/>
      <c r="H139" s="43"/>
      <c r="I139" s="43"/>
      <c r="J139" s="43"/>
      <c r="K139" s="43"/>
      <c r="L139" s="43"/>
      <c r="M139" s="43"/>
      <c r="N139" s="43"/>
      <c r="O139" s="43"/>
    </row>
    <row r="140" spans="3:16" x14ac:dyDescent="0.2">
      <c r="C140" s="126"/>
      <c r="D140" s="126"/>
      <c r="E140" s="126"/>
      <c r="F140" s="126"/>
      <c r="G140" s="126"/>
      <c r="H140" s="126"/>
      <c r="I140" s="126"/>
      <c r="J140" s="126"/>
      <c r="K140" s="126"/>
      <c r="L140" s="126"/>
      <c r="M140" s="126"/>
      <c r="N140" s="126"/>
      <c r="O140" s="126"/>
    </row>
    <row r="141" spans="3:16" x14ac:dyDescent="0.2">
      <c r="N141" s="3"/>
    </row>
    <row r="142" spans="3:16" ht="15.75" x14ac:dyDescent="0.25">
      <c r="C142" s="86" t="s">
        <v>343</v>
      </c>
      <c r="D142" s="43"/>
      <c r="E142" s="43"/>
      <c r="F142" s="43"/>
      <c r="G142" s="43"/>
      <c r="H142" s="43"/>
      <c r="I142" s="43"/>
      <c r="J142" s="43"/>
      <c r="K142" s="43"/>
      <c r="L142" s="43"/>
      <c r="M142" s="43"/>
      <c r="N142" s="46"/>
      <c r="O142" s="43"/>
    </row>
    <row r="143" spans="3:16" ht="13.5" thickBot="1" x14ac:dyDescent="0.25"/>
    <row r="144" spans="3:16" x14ac:dyDescent="0.2">
      <c r="C144" s="48" t="s">
        <v>347</v>
      </c>
      <c r="D144" s="70"/>
      <c r="E144" s="70"/>
      <c r="F144" s="70"/>
      <c r="G144" s="70"/>
      <c r="H144" s="70"/>
      <c r="I144" s="70"/>
      <c r="J144" s="70"/>
      <c r="K144" s="70"/>
      <c r="L144" s="70"/>
      <c r="M144" s="70"/>
      <c r="N144" s="70"/>
      <c r="O144" s="21"/>
      <c r="P144" s="11"/>
    </row>
    <row r="145" spans="2:15" x14ac:dyDescent="0.2">
      <c r="C145" s="49" t="s">
        <v>425</v>
      </c>
      <c r="D145" s="24"/>
      <c r="E145" s="24"/>
      <c r="F145" s="24"/>
      <c r="G145" s="24"/>
      <c r="H145" s="24"/>
      <c r="I145" s="24"/>
      <c r="J145" s="24"/>
      <c r="K145" s="24"/>
      <c r="L145" s="24"/>
      <c r="M145" s="24"/>
      <c r="N145" s="3"/>
      <c r="O145" s="23"/>
    </row>
    <row r="146" spans="2:15" ht="18" customHeight="1" x14ac:dyDescent="0.2">
      <c r="C146" s="49"/>
      <c r="D146" s="24"/>
      <c r="E146" s="24"/>
      <c r="F146" s="24"/>
      <c r="G146" s="24"/>
      <c r="H146" s="24"/>
      <c r="I146" s="24"/>
      <c r="J146" s="24"/>
      <c r="K146" s="24"/>
      <c r="L146" s="24"/>
      <c r="M146" s="24"/>
      <c r="N146" s="88">
        <f>'R2'!D4</f>
        <v>0.65</v>
      </c>
      <c r="O146" s="23" t="s">
        <v>330</v>
      </c>
    </row>
    <row r="147" spans="2:15" ht="4.5" customHeight="1" x14ac:dyDescent="0.2">
      <c r="C147" s="49"/>
      <c r="D147" s="24"/>
      <c r="E147" s="24"/>
      <c r="F147" s="24"/>
      <c r="G147" s="24"/>
      <c r="H147" s="24"/>
      <c r="I147" s="24"/>
      <c r="J147" s="24"/>
      <c r="K147" s="24"/>
      <c r="L147" s="24"/>
      <c r="M147" s="24"/>
      <c r="N147" s="3"/>
      <c r="O147" s="23"/>
    </row>
    <row r="148" spans="2:15" x14ac:dyDescent="0.2">
      <c r="C148" s="49" t="s">
        <v>426</v>
      </c>
      <c r="D148" s="24"/>
      <c r="E148" s="24"/>
      <c r="F148" s="24"/>
      <c r="G148" s="24"/>
      <c r="H148" s="158"/>
      <c r="I148" s="24"/>
      <c r="J148" s="24"/>
      <c r="K148" s="24"/>
      <c r="L148" s="24"/>
      <c r="M148" s="24"/>
      <c r="N148" s="24"/>
      <c r="O148" s="23"/>
    </row>
    <row r="149" spans="2:15" ht="18.75" customHeight="1" x14ac:dyDescent="0.2">
      <c r="C149" s="49"/>
      <c r="D149" s="24"/>
      <c r="E149" s="24"/>
      <c r="F149" s="24"/>
      <c r="G149" s="24"/>
      <c r="H149" s="24"/>
      <c r="I149" s="24"/>
      <c r="J149" s="24"/>
      <c r="K149" s="24"/>
      <c r="L149" s="24"/>
      <c r="M149" s="24"/>
      <c r="N149" s="91">
        <f>'R2'!D25</f>
        <v>1</v>
      </c>
      <c r="O149" s="23"/>
    </row>
    <row r="150" spans="2:15" x14ac:dyDescent="0.2">
      <c r="C150" s="49" t="s">
        <v>427</v>
      </c>
      <c r="D150" s="24"/>
      <c r="E150" s="24"/>
      <c r="F150" s="24"/>
      <c r="G150" s="24"/>
      <c r="H150" s="158"/>
      <c r="I150" s="24"/>
      <c r="J150" s="24"/>
      <c r="K150" s="24"/>
      <c r="L150" s="24"/>
      <c r="M150" s="24"/>
      <c r="N150" s="24"/>
      <c r="O150" s="23"/>
    </row>
    <row r="151" spans="2:15" ht="18.75" customHeight="1" x14ac:dyDescent="0.2">
      <c r="C151" s="49"/>
      <c r="D151" s="24"/>
      <c r="E151" s="24"/>
      <c r="F151" s="24"/>
      <c r="G151" s="24"/>
      <c r="H151" s="24"/>
      <c r="I151" s="24"/>
      <c r="J151" s="24"/>
      <c r="K151" s="24"/>
      <c r="L151" s="24"/>
      <c r="M151" s="24"/>
      <c r="N151" s="91">
        <f>'R2'!D31</f>
        <v>1</v>
      </c>
      <c r="O151" s="23"/>
    </row>
    <row r="152" spans="2:15" ht="6" customHeight="1" thickBot="1" x14ac:dyDescent="0.25">
      <c r="C152" s="54"/>
      <c r="D152" s="25"/>
      <c r="E152" s="25"/>
      <c r="F152" s="25"/>
      <c r="G152" s="25"/>
      <c r="H152" s="25"/>
      <c r="I152" s="25"/>
      <c r="J152" s="25"/>
      <c r="K152" s="25"/>
      <c r="L152" s="25"/>
      <c r="M152" s="25"/>
      <c r="N152" s="71"/>
      <c r="O152" s="56"/>
    </row>
    <row r="153" spans="2:15" ht="13.5" thickBot="1" x14ac:dyDescent="0.25">
      <c r="N153" s="3"/>
    </row>
    <row r="154" spans="2:15" ht="13.5" thickBot="1" x14ac:dyDescent="0.25">
      <c r="C154" s="51" t="s">
        <v>348</v>
      </c>
      <c r="D154" s="26"/>
      <c r="E154" s="26"/>
      <c r="F154" s="26"/>
      <c r="G154" s="26"/>
      <c r="H154" s="26"/>
      <c r="I154" s="26"/>
      <c r="J154" s="26"/>
      <c r="K154" s="26"/>
      <c r="L154" s="26"/>
      <c r="M154" s="26"/>
      <c r="N154" s="70"/>
      <c r="O154" s="28"/>
    </row>
    <row r="155" spans="2:15" ht="13.5" thickBot="1" x14ac:dyDescent="0.25">
      <c r="C155" s="54" t="s">
        <v>350</v>
      </c>
      <c r="D155" s="25"/>
      <c r="E155" s="25"/>
      <c r="F155" s="25"/>
      <c r="G155" s="25"/>
      <c r="H155" s="25"/>
      <c r="I155" s="25"/>
      <c r="J155" s="25"/>
      <c r="K155" s="25"/>
      <c r="L155" s="25"/>
      <c r="M155" s="25"/>
      <c r="N155" s="206">
        <f>CE_Chile!N130</f>
        <v>0</v>
      </c>
      <c r="O155" s="56" t="s">
        <v>330</v>
      </c>
    </row>
    <row r="156" spans="2:15" x14ac:dyDescent="0.2">
      <c r="N156" s="3"/>
    </row>
    <row r="157" spans="2:15" x14ac:dyDescent="0.2">
      <c r="C157" s="1" t="s">
        <v>349</v>
      </c>
      <c r="N157" s="91">
        <f>IF(N155=0,N146*N149*N151,N155*N149*N151)</f>
        <v>0.65</v>
      </c>
      <c r="O157" s="1" t="s">
        <v>330</v>
      </c>
    </row>
    <row r="158" spans="2:15" x14ac:dyDescent="0.2">
      <c r="N158" s="195"/>
    </row>
    <row r="159" spans="2:15" s="19" customFormat="1" x14ac:dyDescent="0.2">
      <c r="B159" s="192"/>
      <c r="C159" s="136" t="s">
        <v>355</v>
      </c>
      <c r="D159" s="136"/>
      <c r="E159" s="136"/>
      <c r="F159" s="136"/>
      <c r="G159" s="136"/>
      <c r="H159" s="136"/>
      <c r="I159" s="136"/>
      <c r="J159" s="136"/>
      <c r="K159" s="136"/>
      <c r="L159" s="136"/>
      <c r="M159" s="136"/>
      <c r="N159" s="136"/>
      <c r="O159" s="136"/>
    </row>
    <row r="160" spans="2:15" s="19" customFormat="1" x14ac:dyDescent="0.2">
      <c r="B160" s="192"/>
      <c r="C160" s="3"/>
      <c r="D160" s="3"/>
      <c r="E160" s="3"/>
      <c r="F160" s="3"/>
      <c r="G160" s="3"/>
      <c r="H160" s="3"/>
      <c r="I160" s="3"/>
      <c r="J160" s="3"/>
      <c r="K160" s="3"/>
      <c r="L160" s="3"/>
      <c r="M160" s="3"/>
      <c r="N160" s="3"/>
      <c r="O160" s="3"/>
    </row>
    <row r="161" spans="2:15" s="10" customFormat="1" ht="13.5" thickBot="1" x14ac:dyDescent="0.25">
      <c r="B161" s="190"/>
      <c r="C161" s="12"/>
      <c r="D161" s="12"/>
      <c r="E161" s="12"/>
      <c r="F161" s="12"/>
      <c r="G161" s="12"/>
      <c r="H161" s="12"/>
      <c r="I161" s="12"/>
      <c r="J161" s="12"/>
      <c r="K161" s="12"/>
      <c r="L161" s="12"/>
      <c r="M161" s="12"/>
      <c r="N161" s="3"/>
      <c r="O161" s="12"/>
    </row>
    <row r="162" spans="2:15" x14ac:dyDescent="0.2">
      <c r="C162" s="196" t="s">
        <v>660</v>
      </c>
      <c r="D162" s="197"/>
      <c r="E162" s="197"/>
      <c r="F162" s="197"/>
      <c r="G162" s="197"/>
      <c r="H162" s="197"/>
      <c r="I162" s="197"/>
      <c r="J162" s="197"/>
      <c r="K162" s="197"/>
      <c r="L162" s="197"/>
      <c r="M162" s="197"/>
      <c r="N162" s="198"/>
      <c r="O162" s="199"/>
    </row>
    <row r="163" spans="2:15" ht="17.25" customHeight="1" x14ac:dyDescent="0.2">
      <c r="C163" s="49" t="s">
        <v>513</v>
      </c>
      <c r="D163" s="24"/>
      <c r="E163" s="24"/>
      <c r="F163" s="24"/>
      <c r="G163" s="24"/>
      <c r="H163" s="24"/>
      <c r="I163" s="24"/>
      <c r="J163" s="24"/>
      <c r="K163" s="24"/>
      <c r="L163" s="24"/>
      <c r="M163" s="24"/>
      <c r="N163" s="68"/>
      <c r="O163" s="23"/>
    </row>
    <row r="164" spans="2:15" ht="22.5" customHeight="1" x14ac:dyDescent="0.2">
      <c r="C164" s="49" t="s">
        <v>587</v>
      </c>
      <c r="D164" s="24"/>
      <c r="E164" s="24"/>
      <c r="F164" s="24"/>
      <c r="G164" s="24"/>
      <c r="H164" s="24"/>
      <c r="I164" s="24"/>
      <c r="J164" s="24"/>
      <c r="K164" s="24"/>
      <c r="L164" s="24"/>
      <c r="M164" s="24"/>
      <c r="N164" s="68"/>
      <c r="O164" s="23"/>
    </row>
    <row r="165" spans="2:15" ht="12.75" customHeight="1" x14ac:dyDescent="0.2">
      <c r="C165" s="49" t="s">
        <v>606</v>
      </c>
      <c r="D165" s="24"/>
      <c r="E165" s="24"/>
      <c r="F165" s="24"/>
      <c r="G165" s="24"/>
      <c r="H165" s="60">
        <f>CE_Chile!H165</f>
        <v>2</v>
      </c>
      <c r="I165" s="24" t="s">
        <v>520</v>
      </c>
      <c r="J165" s="24"/>
      <c r="K165" s="24"/>
      <c r="L165" s="24"/>
      <c r="M165" s="24"/>
      <c r="N165" s="68"/>
      <c r="O165" s="23"/>
    </row>
    <row r="166" spans="2:15" ht="12.75" customHeight="1" x14ac:dyDescent="0.2">
      <c r="C166" s="49" t="s">
        <v>551</v>
      </c>
      <c r="D166" s="24"/>
      <c r="E166" s="24"/>
      <c r="F166" s="24"/>
      <c r="G166" s="24"/>
      <c r="H166" s="60">
        <f>CE_Chile!H166</f>
        <v>40</v>
      </c>
      <c r="I166" s="24" t="s">
        <v>552</v>
      </c>
      <c r="J166" s="24"/>
      <c r="K166" s="24"/>
      <c r="L166" s="24"/>
      <c r="M166" s="24"/>
      <c r="N166" s="68"/>
      <c r="O166" s="23"/>
    </row>
    <row r="167" spans="2:15" ht="12.75" customHeight="1" x14ac:dyDescent="0.2">
      <c r="C167" s="49" t="s">
        <v>4</v>
      </c>
      <c r="D167" s="24"/>
      <c r="E167" s="24"/>
      <c r="F167" s="24"/>
      <c r="G167" s="24"/>
      <c r="H167" s="1224">
        <f>(CE_Chile!H167)</f>
        <v>10</v>
      </c>
      <c r="I167" s="24" t="s">
        <v>330</v>
      </c>
      <c r="J167" s="24"/>
      <c r="K167" s="24"/>
      <c r="L167" s="24"/>
      <c r="M167" s="24"/>
      <c r="N167" s="68"/>
      <c r="O167" s="23"/>
    </row>
    <row r="168" spans="2:15" ht="12.75" customHeight="1" x14ac:dyDescent="0.2">
      <c r="C168" s="49" t="s">
        <v>619</v>
      </c>
      <c r="D168" s="24"/>
      <c r="E168" s="24"/>
      <c r="F168" s="24"/>
      <c r="G168" s="24"/>
      <c r="H168" s="1222">
        <f>CE_Chile!H168</f>
        <v>1</v>
      </c>
      <c r="I168" s="24" t="s">
        <v>330</v>
      </c>
      <c r="J168" s="24"/>
      <c r="K168" s="24"/>
      <c r="L168" s="24"/>
      <c r="M168" s="24"/>
      <c r="N168" s="68"/>
      <c r="O168" s="23"/>
    </row>
    <row r="169" spans="2:15" ht="12.75" customHeight="1" thickBot="1" x14ac:dyDescent="0.25">
      <c r="C169" s="49"/>
      <c r="D169" s="24"/>
      <c r="E169" s="24"/>
      <c r="F169" s="24"/>
      <c r="G169" s="24"/>
      <c r="H169" s="24"/>
      <c r="I169" s="24"/>
      <c r="J169" s="24"/>
      <c r="K169" s="24"/>
      <c r="L169" s="24"/>
      <c r="M169" s="24"/>
      <c r="N169" s="68"/>
      <c r="O169" s="23"/>
    </row>
    <row r="170" spans="2:15" ht="12.75" customHeight="1" x14ac:dyDescent="0.2">
      <c r="C170" s="51" t="s">
        <v>599</v>
      </c>
      <c r="D170" s="26"/>
      <c r="E170" s="26"/>
      <c r="F170" s="26"/>
      <c r="G170" s="26"/>
      <c r="H170" s="201" t="s">
        <v>601</v>
      </c>
      <c r="I170" s="26"/>
      <c r="J170" s="70" t="s">
        <v>600</v>
      </c>
      <c r="K170" s="26"/>
      <c r="L170" s="26"/>
      <c r="M170" s="26"/>
      <c r="N170" s="202" t="s">
        <v>602</v>
      </c>
      <c r="O170" s="28"/>
    </row>
    <row r="171" spans="2:15" ht="12.75" customHeight="1" x14ac:dyDescent="0.2">
      <c r="C171" s="49" t="s">
        <v>596</v>
      </c>
      <c r="D171" s="24"/>
      <c r="E171" s="24"/>
      <c r="F171" s="24"/>
      <c r="G171" s="24"/>
      <c r="H171" s="204">
        <f>'R4'!G3</f>
        <v>0</v>
      </c>
      <c r="I171" s="24"/>
      <c r="J171" s="203">
        <f>CE_Chile!J171</f>
        <v>0</v>
      </c>
      <c r="K171" s="24"/>
      <c r="L171" s="24"/>
      <c r="M171" s="24"/>
      <c r="N171" s="204">
        <f>IF(J171&gt;0,J171,H171)</f>
        <v>0</v>
      </c>
      <c r="O171" s="23"/>
    </row>
    <row r="172" spans="2:15" ht="12.75" customHeight="1" x14ac:dyDescent="0.2">
      <c r="C172" s="49" t="s">
        <v>597</v>
      </c>
      <c r="D172" s="24"/>
      <c r="E172" s="24"/>
      <c r="F172" s="24"/>
      <c r="G172" s="24"/>
      <c r="H172" s="204">
        <f>'R4'!H3</f>
        <v>0</v>
      </c>
      <c r="I172" s="24"/>
      <c r="J172" s="203">
        <f>CE_Chile!J172</f>
        <v>0</v>
      </c>
      <c r="K172" s="24"/>
      <c r="L172" s="24"/>
      <c r="M172" s="24"/>
      <c r="N172" s="204">
        <f>IF(J172&gt;0,J172,H172)</f>
        <v>0</v>
      </c>
      <c r="O172" s="23"/>
    </row>
    <row r="173" spans="2:15" ht="12.75" customHeight="1" thickBot="1" x14ac:dyDescent="0.25">
      <c r="C173" s="54" t="s">
        <v>598</v>
      </c>
      <c r="D173" s="25"/>
      <c r="E173" s="25"/>
      <c r="F173" s="25"/>
      <c r="G173" s="25"/>
      <c r="H173" s="204">
        <f>'R4'!I3</f>
        <v>0</v>
      </c>
      <c r="I173" s="25"/>
      <c r="J173" s="203">
        <f>CE_Chile!J173</f>
        <v>0</v>
      </c>
      <c r="K173" s="25"/>
      <c r="L173" s="25"/>
      <c r="M173" s="25"/>
      <c r="N173" s="204">
        <f>IF(J173&gt;0,J173,H173)</f>
        <v>0</v>
      </c>
      <c r="O173" s="56"/>
    </row>
    <row r="174" spans="2:15" x14ac:dyDescent="0.2">
      <c r="C174" s="49"/>
      <c r="D174" s="24"/>
      <c r="E174" s="24"/>
      <c r="F174" s="24"/>
      <c r="G174" s="24"/>
      <c r="H174" s="158"/>
      <c r="I174" s="24"/>
      <c r="J174" s="24"/>
      <c r="K174" s="24"/>
      <c r="L174" s="24"/>
      <c r="M174" s="24"/>
      <c r="N174" s="68"/>
      <c r="O174" s="23"/>
    </row>
    <row r="175" spans="2:15" x14ac:dyDescent="0.2">
      <c r="C175" s="49" t="s">
        <v>593</v>
      </c>
      <c r="D175" s="24"/>
      <c r="E175" s="24"/>
      <c r="F175" s="24"/>
      <c r="G175" s="24"/>
      <c r="H175" s="24"/>
      <c r="I175" s="24"/>
      <c r="J175" s="24"/>
      <c r="K175" s="24"/>
      <c r="L175" s="24"/>
      <c r="M175" s="24"/>
      <c r="N175" s="1219">
        <f>'R4'!B163</f>
        <v>0</v>
      </c>
      <c r="O175" s="23" t="s">
        <v>428</v>
      </c>
    </row>
    <row r="176" spans="2:15" x14ac:dyDescent="0.2">
      <c r="C176" s="49" t="s">
        <v>594</v>
      </c>
      <c r="D176" s="24"/>
      <c r="E176" s="24"/>
      <c r="F176" s="24"/>
      <c r="G176" s="24"/>
      <c r="H176" s="24"/>
      <c r="I176" s="24"/>
      <c r="J176" s="24"/>
      <c r="K176" s="24"/>
      <c r="L176" s="24"/>
      <c r="M176" s="24"/>
      <c r="N176" s="96">
        <f>'R4'!B164</f>
        <v>0</v>
      </c>
      <c r="O176" s="23" t="s">
        <v>428</v>
      </c>
    </row>
    <row r="177" spans="3:15" x14ac:dyDescent="0.2">
      <c r="C177" s="49"/>
      <c r="D177" s="24"/>
      <c r="E177" s="24"/>
      <c r="F177" s="24"/>
      <c r="G177" s="24"/>
      <c r="H177" s="24"/>
      <c r="I177" s="24"/>
      <c r="J177" s="24"/>
      <c r="K177" s="24"/>
      <c r="L177" s="24"/>
      <c r="M177" s="24"/>
      <c r="N177" s="68"/>
      <c r="O177" s="23"/>
    </row>
    <row r="178" spans="3:15" ht="13.5" thickBot="1" x14ac:dyDescent="0.25">
      <c r="C178" s="54" t="s">
        <v>603</v>
      </c>
      <c r="D178" s="25"/>
      <c r="E178" s="25"/>
      <c r="F178" s="25"/>
      <c r="G178" s="25"/>
      <c r="H178" s="25"/>
      <c r="I178" s="25"/>
      <c r="J178" s="25"/>
      <c r="K178" s="25"/>
      <c r="L178" s="25"/>
      <c r="M178" s="25"/>
      <c r="N178" s="137">
        <f>(H108)*(N176/100)</f>
        <v>0</v>
      </c>
      <c r="O178" s="56" t="s">
        <v>291</v>
      </c>
    </row>
    <row r="179" spans="3:15" x14ac:dyDescent="0.2">
      <c r="N179" s="68"/>
    </row>
    <row r="180" spans="3:15" ht="15.75" x14ac:dyDescent="0.25">
      <c r="C180" s="86" t="s">
        <v>366</v>
      </c>
      <c r="D180" s="43"/>
      <c r="E180" s="43"/>
      <c r="F180" s="43"/>
      <c r="G180" s="43"/>
      <c r="H180" s="43"/>
      <c r="I180" s="43"/>
      <c r="J180" s="43"/>
      <c r="K180" s="43"/>
      <c r="L180" s="43"/>
      <c r="M180" s="43"/>
      <c r="N180" s="50"/>
      <c r="O180" s="43"/>
    </row>
    <row r="181" spans="3:15" x14ac:dyDescent="0.2">
      <c r="C181" s="126"/>
      <c r="D181" s="126"/>
      <c r="E181" s="126"/>
      <c r="F181" s="126"/>
      <c r="G181" s="126"/>
      <c r="H181" s="126"/>
      <c r="I181" s="126"/>
      <c r="J181" s="126"/>
      <c r="K181" s="126"/>
      <c r="L181" s="126"/>
      <c r="M181" s="126"/>
      <c r="N181" s="138"/>
      <c r="O181" s="126"/>
    </row>
    <row r="182" spans="3:15" ht="6.75" customHeight="1" thickBot="1" x14ac:dyDescent="0.25">
      <c r="N182" s="3"/>
    </row>
    <row r="183" spans="3:15" x14ac:dyDescent="0.2">
      <c r="C183" s="48" t="s">
        <v>641</v>
      </c>
      <c r="D183" s="70"/>
      <c r="E183" s="70"/>
      <c r="F183" s="70"/>
      <c r="G183" s="70"/>
      <c r="H183" s="70"/>
      <c r="I183" s="70"/>
      <c r="J183" s="70"/>
      <c r="K183" s="70"/>
      <c r="L183" s="70"/>
      <c r="M183" s="70"/>
      <c r="N183" s="70"/>
      <c r="O183" s="21"/>
    </row>
    <row r="184" spans="3:15" x14ac:dyDescent="0.2">
      <c r="C184" s="49" t="s">
        <v>344</v>
      </c>
      <c r="D184" s="24"/>
      <c r="E184" s="24"/>
      <c r="F184" s="24"/>
      <c r="G184" s="24"/>
      <c r="H184" s="24"/>
      <c r="I184" s="24"/>
      <c r="J184" s="24"/>
      <c r="K184" s="24"/>
      <c r="L184" s="24"/>
      <c r="M184" s="24"/>
      <c r="N184" s="3"/>
      <c r="O184" s="23"/>
    </row>
    <row r="185" spans="3:15" ht="14.25" customHeight="1" x14ac:dyDescent="0.2">
      <c r="C185" s="49"/>
      <c r="D185" s="24"/>
      <c r="E185" s="24"/>
      <c r="F185" s="24"/>
      <c r="G185" s="24"/>
      <c r="H185" s="24"/>
      <c r="I185" s="24"/>
      <c r="J185" s="24"/>
      <c r="K185" s="24"/>
      <c r="L185" s="24"/>
      <c r="M185" s="24"/>
      <c r="N185" s="139">
        <f>'R2'!D60</f>
        <v>0.7</v>
      </c>
      <c r="O185" s="23" t="s">
        <v>330</v>
      </c>
    </row>
    <row r="186" spans="3:15" ht="5.25" customHeight="1" x14ac:dyDescent="0.2">
      <c r="C186" s="49"/>
      <c r="D186" s="24"/>
      <c r="E186" s="24"/>
      <c r="F186" s="24"/>
      <c r="G186" s="24"/>
      <c r="H186" s="24"/>
      <c r="I186" s="24"/>
      <c r="J186" s="24"/>
      <c r="K186" s="24"/>
      <c r="L186" s="24"/>
      <c r="M186" s="24"/>
      <c r="N186" s="3"/>
      <c r="O186" s="23"/>
    </row>
    <row r="187" spans="3:15" x14ac:dyDescent="0.2">
      <c r="C187" s="49" t="s">
        <v>426</v>
      </c>
      <c r="D187" s="24"/>
      <c r="E187" s="24"/>
      <c r="F187" s="24"/>
      <c r="G187" s="24"/>
      <c r="H187" s="158"/>
      <c r="I187" s="24"/>
      <c r="J187" s="24"/>
      <c r="K187" s="24"/>
      <c r="L187" s="24"/>
      <c r="M187" s="24"/>
      <c r="N187" s="24"/>
      <c r="O187" s="23"/>
    </row>
    <row r="188" spans="3:15" ht="17.25" customHeight="1" x14ac:dyDescent="0.2">
      <c r="C188" s="49"/>
      <c r="D188" s="24"/>
      <c r="E188" s="24"/>
      <c r="F188" s="24"/>
      <c r="G188" s="24"/>
      <c r="H188" s="24"/>
      <c r="I188" s="24"/>
      <c r="J188" s="24"/>
      <c r="K188" s="24"/>
      <c r="L188" s="24"/>
      <c r="M188" s="24"/>
      <c r="N188" s="139">
        <f>'R2'!D71</f>
        <v>0.9</v>
      </c>
      <c r="O188" s="23"/>
    </row>
    <row r="189" spans="3:15" x14ac:dyDescent="0.2">
      <c r="C189" s="49"/>
      <c r="D189" s="24"/>
      <c r="E189" s="24"/>
      <c r="F189" s="24"/>
      <c r="G189" s="24"/>
      <c r="H189" s="158"/>
      <c r="I189" s="24"/>
      <c r="J189" s="24"/>
      <c r="K189" s="24"/>
      <c r="L189" s="24"/>
      <c r="M189" s="24"/>
      <c r="N189" s="24"/>
      <c r="O189" s="23"/>
    </row>
    <row r="190" spans="3:15" x14ac:dyDescent="0.2">
      <c r="C190" s="49" t="s">
        <v>609</v>
      </c>
      <c r="D190" s="24"/>
      <c r="E190" s="24"/>
      <c r="F190" s="24"/>
      <c r="G190" s="24"/>
      <c r="H190" s="24"/>
      <c r="I190" s="24"/>
      <c r="J190" s="24"/>
      <c r="K190" s="24"/>
      <c r="L190" s="24"/>
      <c r="M190" s="24"/>
      <c r="N190" s="207">
        <f>CE_Chile!N147</f>
        <v>0</v>
      </c>
      <c r="O190" s="23" t="s">
        <v>291</v>
      </c>
    </row>
    <row r="191" spans="3:15" ht="13.5" thickBot="1" x14ac:dyDescent="0.25">
      <c r="C191" s="54"/>
      <c r="D191" s="25"/>
      <c r="E191" s="25"/>
      <c r="F191" s="25"/>
      <c r="G191" s="25"/>
      <c r="H191" s="25"/>
      <c r="I191" s="25"/>
      <c r="J191" s="25"/>
      <c r="K191" s="25"/>
      <c r="L191" s="25"/>
      <c r="M191" s="25"/>
      <c r="N191" s="71"/>
      <c r="O191" s="56"/>
    </row>
    <row r="192" spans="3:15" ht="13.5" thickBot="1" x14ac:dyDescent="0.25">
      <c r="N192" s="3"/>
    </row>
    <row r="193" spans="3:15" ht="13.5" thickBot="1" x14ac:dyDescent="0.25">
      <c r="C193" s="51" t="s">
        <v>348</v>
      </c>
      <c r="D193" s="26"/>
      <c r="E193" s="26"/>
      <c r="F193" s="26"/>
      <c r="G193" s="26"/>
      <c r="H193" s="26"/>
      <c r="I193" s="26"/>
      <c r="J193" s="26"/>
      <c r="K193" s="26"/>
      <c r="L193" s="26"/>
      <c r="M193" s="26"/>
      <c r="N193" s="70"/>
      <c r="O193" s="28"/>
    </row>
    <row r="194" spans="3:15" ht="13.5" thickBot="1" x14ac:dyDescent="0.25">
      <c r="C194" s="54" t="s">
        <v>350</v>
      </c>
      <c r="D194" s="25"/>
      <c r="E194" s="25"/>
      <c r="F194" s="25"/>
      <c r="G194" s="25"/>
      <c r="H194" s="25"/>
      <c r="I194" s="25"/>
      <c r="J194" s="25"/>
      <c r="K194" s="25"/>
      <c r="L194" s="25"/>
      <c r="M194" s="25"/>
      <c r="N194" s="206">
        <f>CE_Chile!N150</f>
        <v>0</v>
      </c>
      <c r="O194" s="56" t="s">
        <v>330</v>
      </c>
    </row>
    <row r="195" spans="3:15" x14ac:dyDescent="0.2">
      <c r="N195" s="3"/>
    </row>
    <row r="196" spans="3:15" x14ac:dyDescent="0.2">
      <c r="C196" s="1" t="s">
        <v>349</v>
      </c>
      <c r="N196" s="91">
        <f>'R2'!C92</f>
        <v>0.63</v>
      </c>
      <c r="O196" s="1" t="s">
        <v>330</v>
      </c>
    </row>
    <row r="197" spans="3:15" x14ac:dyDescent="0.2">
      <c r="C197" s="1" t="s">
        <v>642</v>
      </c>
      <c r="N197" s="139"/>
    </row>
    <row r="198" spans="3:15" ht="18" customHeight="1" x14ac:dyDescent="0.2">
      <c r="N198" s="195"/>
    </row>
    <row r="199" spans="3:15" x14ac:dyDescent="0.2">
      <c r="N199" s="195"/>
    </row>
    <row r="200" spans="3:15" ht="13.5" thickBot="1" x14ac:dyDescent="0.25">
      <c r="N200" s="68"/>
    </row>
    <row r="201" spans="3:15" x14ac:dyDescent="0.2">
      <c r="C201" s="51" t="s">
        <v>643</v>
      </c>
      <c r="D201" s="26"/>
      <c r="E201" s="26"/>
      <c r="F201" s="26"/>
      <c r="G201" s="26"/>
      <c r="H201" s="26"/>
      <c r="I201" s="26"/>
      <c r="J201" s="26"/>
      <c r="K201" s="26"/>
      <c r="L201" s="26"/>
      <c r="M201" s="26"/>
      <c r="N201" s="69"/>
      <c r="O201" s="28"/>
    </row>
    <row r="202" spans="3:15" x14ac:dyDescent="0.2">
      <c r="C202" s="49"/>
      <c r="D202" s="24"/>
      <c r="E202" s="24"/>
      <c r="F202" s="24"/>
      <c r="G202" s="24"/>
      <c r="H202" s="24"/>
      <c r="I202" s="24"/>
      <c r="J202" s="24"/>
      <c r="K202" s="24"/>
      <c r="L202" s="24"/>
      <c r="M202" s="24"/>
      <c r="N202" s="68"/>
      <c r="O202" s="23"/>
    </row>
    <row r="203" spans="3:15" ht="13.5" thickBot="1" x14ac:dyDescent="0.25">
      <c r="C203" s="54" t="s">
        <v>504</v>
      </c>
      <c r="D203" s="25"/>
      <c r="E203" s="25"/>
      <c r="F203" s="25"/>
      <c r="G203" s="25"/>
      <c r="H203" s="25"/>
      <c r="I203" s="25"/>
      <c r="J203" s="25"/>
      <c r="K203" s="25"/>
      <c r="L203" s="25"/>
      <c r="M203" s="25"/>
      <c r="N203" s="137">
        <f>(H117*N175/100)</f>
        <v>0</v>
      </c>
      <c r="O203" s="56" t="s">
        <v>291</v>
      </c>
    </row>
    <row r="204" spans="3:15" x14ac:dyDescent="0.2">
      <c r="C204" s="24"/>
      <c r="D204" s="24"/>
      <c r="E204" s="24"/>
      <c r="F204" s="24"/>
      <c r="G204" s="24"/>
      <c r="H204" s="24"/>
      <c r="I204" s="24"/>
      <c r="J204" s="24"/>
      <c r="K204" s="24"/>
      <c r="L204" s="24"/>
      <c r="M204" s="24"/>
      <c r="N204" s="208"/>
      <c r="O204" s="24"/>
    </row>
    <row r="205" spans="3:15" x14ac:dyDescent="0.2">
      <c r="C205" s="24" t="s">
        <v>505</v>
      </c>
      <c r="D205" s="24"/>
      <c r="E205" s="24"/>
      <c r="F205" s="24"/>
      <c r="G205" s="24"/>
      <c r="H205" s="24"/>
      <c r="I205" s="24"/>
      <c r="J205" s="24"/>
      <c r="K205" s="24"/>
      <c r="L205" s="24"/>
      <c r="M205" s="24"/>
      <c r="N205" s="130">
        <f>(H117-N203)/N196</f>
        <v>3899.4055509975883</v>
      </c>
      <c r="O205" s="24" t="s">
        <v>291</v>
      </c>
    </row>
    <row r="206" spans="3:15" x14ac:dyDescent="0.2">
      <c r="M206" s="12"/>
      <c r="N206" s="68"/>
    </row>
    <row r="207" spans="3:15" ht="15.75" x14ac:dyDescent="0.25">
      <c r="C207" s="86" t="s">
        <v>376</v>
      </c>
      <c r="D207" s="43"/>
      <c r="E207" s="43"/>
      <c r="F207" s="43"/>
      <c r="G207" s="43"/>
      <c r="H207" s="43"/>
      <c r="I207" s="43"/>
      <c r="J207" s="43"/>
      <c r="K207" s="43"/>
      <c r="L207" s="43"/>
      <c r="M207" s="43"/>
      <c r="N207" s="50"/>
      <c r="O207" s="43"/>
    </row>
    <row r="208" spans="3:15" x14ac:dyDescent="0.2">
      <c r="C208" s="126"/>
      <c r="D208" s="126"/>
      <c r="E208" s="126"/>
      <c r="F208" s="126"/>
      <c r="G208" s="126"/>
      <c r="H208" s="126"/>
      <c r="I208" s="126"/>
      <c r="J208" s="126"/>
      <c r="K208" s="126"/>
      <c r="L208" s="126"/>
      <c r="M208" s="126"/>
      <c r="N208" s="138"/>
      <c r="O208" s="126"/>
    </row>
    <row r="209" spans="3:15" ht="13.5" thickBot="1" x14ac:dyDescent="0.25">
      <c r="M209" s="12"/>
      <c r="N209" s="68"/>
    </row>
    <row r="210" spans="3:15" x14ac:dyDescent="0.2">
      <c r="C210" s="51" t="s">
        <v>377</v>
      </c>
      <c r="D210" s="26"/>
      <c r="E210" s="26"/>
      <c r="F210" s="26"/>
      <c r="G210" s="26"/>
      <c r="H210" s="26"/>
      <c r="I210" s="26"/>
      <c r="J210" s="26"/>
      <c r="K210" s="26"/>
      <c r="L210" s="26"/>
      <c r="M210" s="26"/>
      <c r="N210" s="69"/>
      <c r="O210" s="28"/>
    </row>
    <row r="211" spans="3:15" x14ac:dyDescent="0.2">
      <c r="C211" s="49"/>
      <c r="D211" s="24"/>
      <c r="E211" s="24"/>
      <c r="F211" s="24"/>
      <c r="G211" s="24"/>
      <c r="H211" s="24"/>
      <c r="I211" s="24"/>
      <c r="J211" s="24"/>
      <c r="K211" s="24"/>
      <c r="L211" s="24"/>
      <c r="M211" s="24"/>
      <c r="N211" s="68"/>
      <c r="O211" s="23"/>
    </row>
    <row r="212" spans="3:15" x14ac:dyDescent="0.2">
      <c r="C212" s="49" t="s">
        <v>622</v>
      </c>
      <c r="D212" s="24"/>
      <c r="E212" s="24"/>
      <c r="F212" s="24"/>
      <c r="G212" s="24"/>
      <c r="H212" s="60">
        <f>CE_Chile!H185</f>
        <v>3</v>
      </c>
      <c r="I212" s="24" t="s">
        <v>625</v>
      </c>
      <c r="J212" s="24"/>
      <c r="K212" s="24"/>
      <c r="L212" s="24"/>
      <c r="M212" s="24"/>
      <c r="N212" s="68"/>
      <c r="O212" s="23"/>
    </row>
    <row r="213" spans="3:15" x14ac:dyDescent="0.2">
      <c r="C213" s="49" t="s">
        <v>551</v>
      </c>
      <c r="D213" s="24"/>
      <c r="E213" s="24"/>
      <c r="F213" s="24"/>
      <c r="G213" s="24"/>
      <c r="H213" s="60">
        <f>CE_Chile!H186</f>
        <v>40</v>
      </c>
      <c r="I213" s="24" t="s">
        <v>626</v>
      </c>
      <c r="J213" s="24"/>
      <c r="K213" s="24"/>
      <c r="L213" s="24"/>
      <c r="M213" s="24"/>
      <c r="N213" s="68"/>
      <c r="O213" s="23"/>
    </row>
    <row r="214" spans="3:15" x14ac:dyDescent="0.2">
      <c r="C214" s="49" t="s">
        <v>623</v>
      </c>
      <c r="D214" s="24"/>
      <c r="E214" s="24"/>
      <c r="F214" s="24"/>
      <c r="G214" s="24"/>
      <c r="H214" s="60">
        <f>CE_Chile!H187</f>
        <v>10</v>
      </c>
      <c r="I214" s="24" t="s">
        <v>330</v>
      </c>
      <c r="J214" s="24"/>
      <c r="K214" s="24"/>
      <c r="L214" s="24"/>
      <c r="M214" s="24"/>
      <c r="N214" s="68"/>
      <c r="O214" s="23"/>
    </row>
    <row r="215" spans="3:15" x14ac:dyDescent="0.2">
      <c r="C215" s="49" t="s">
        <v>624</v>
      </c>
      <c r="D215" s="24"/>
      <c r="E215" s="24"/>
      <c r="F215" s="24"/>
      <c r="G215" s="24"/>
      <c r="H215" s="217">
        <f>CE_Chile!H188</f>
        <v>0.5</v>
      </c>
      <c r="I215" s="24" t="s">
        <v>330</v>
      </c>
      <c r="J215" s="24"/>
      <c r="K215" s="24"/>
      <c r="L215" s="24"/>
      <c r="M215" s="24"/>
      <c r="N215" s="68"/>
      <c r="O215" s="23"/>
    </row>
    <row r="216" spans="3:15" x14ac:dyDescent="0.2">
      <c r="C216" s="49"/>
      <c r="D216" s="24"/>
      <c r="E216" s="24"/>
      <c r="F216" s="24"/>
      <c r="G216" s="24"/>
      <c r="H216" s="218"/>
      <c r="I216" s="24"/>
      <c r="J216" s="24"/>
      <c r="K216" s="24"/>
      <c r="L216" s="24"/>
      <c r="M216" s="24"/>
      <c r="N216" s="68"/>
      <c r="O216" s="23"/>
    </row>
    <row r="217" spans="3:15" x14ac:dyDescent="0.2">
      <c r="C217" s="49" t="s">
        <v>645</v>
      </c>
      <c r="D217" s="24"/>
      <c r="E217" s="24"/>
      <c r="F217" s="24"/>
      <c r="G217" s="24"/>
      <c r="H217" s="63">
        <f>CE_Chile!H190</f>
        <v>0.14000000000000001</v>
      </c>
      <c r="I217" s="24" t="s">
        <v>330</v>
      </c>
      <c r="J217" s="24"/>
      <c r="K217" s="24"/>
      <c r="L217" s="24"/>
      <c r="M217" s="24"/>
      <c r="N217" s="68"/>
      <c r="O217" s="23"/>
    </row>
    <row r="218" spans="3:15" x14ac:dyDescent="0.2">
      <c r="C218" s="49"/>
      <c r="D218" s="24"/>
      <c r="E218" s="24"/>
      <c r="F218" s="24"/>
      <c r="G218" s="24"/>
      <c r="H218" s="158"/>
      <c r="I218" s="24"/>
      <c r="J218" s="24"/>
      <c r="K218" s="24"/>
      <c r="L218" s="24"/>
      <c r="M218" s="24"/>
      <c r="N218" s="68"/>
      <c r="O218" s="23"/>
    </row>
    <row r="219" spans="3:15" x14ac:dyDescent="0.2">
      <c r="C219" s="49" t="s">
        <v>627</v>
      </c>
      <c r="D219" s="24"/>
      <c r="E219" s="24"/>
      <c r="F219" s="24"/>
      <c r="G219" s="24"/>
      <c r="H219" s="24"/>
      <c r="I219" s="24"/>
      <c r="J219" s="24"/>
      <c r="K219" s="24"/>
      <c r="L219" s="24"/>
      <c r="M219" s="24"/>
      <c r="N219" s="96">
        <f>'R5'!K5</f>
        <v>0</v>
      </c>
      <c r="O219" s="23" t="s">
        <v>428</v>
      </c>
    </row>
    <row r="220" spans="3:15" x14ac:dyDescent="0.2">
      <c r="C220" s="49"/>
      <c r="D220" s="24"/>
      <c r="E220" s="24"/>
      <c r="F220" s="24"/>
      <c r="G220" s="24"/>
      <c r="H220" s="24"/>
      <c r="I220" s="24"/>
      <c r="J220" s="24"/>
      <c r="K220" s="24"/>
      <c r="L220" s="24"/>
      <c r="M220" s="24"/>
      <c r="N220" s="68"/>
      <c r="O220" s="23"/>
    </row>
    <row r="221" spans="3:15" ht="13.5" thickBot="1" x14ac:dyDescent="0.25">
      <c r="C221" s="54" t="s">
        <v>628</v>
      </c>
      <c r="D221" s="25"/>
      <c r="E221" s="25"/>
      <c r="F221" s="25"/>
      <c r="G221" s="25"/>
      <c r="H221" s="25"/>
      <c r="I221" s="25"/>
      <c r="J221" s="25"/>
      <c r="K221" s="25"/>
      <c r="L221" s="25"/>
      <c r="M221" s="25"/>
      <c r="N221" s="220">
        <f>H128*N219/100</f>
        <v>0</v>
      </c>
      <c r="O221" s="56" t="s">
        <v>291</v>
      </c>
    </row>
    <row r="222" spans="3:15" x14ac:dyDescent="0.2">
      <c r="M222" s="12"/>
      <c r="N222" s="68"/>
    </row>
    <row r="224" spans="3:15" ht="15.75" x14ac:dyDescent="0.25">
      <c r="C224" s="86" t="s">
        <v>393</v>
      </c>
      <c r="D224" s="43"/>
      <c r="E224" s="43"/>
      <c r="F224" s="43"/>
      <c r="G224" s="43"/>
      <c r="H224" s="43"/>
      <c r="I224" s="43"/>
      <c r="J224" s="43"/>
      <c r="K224" s="43"/>
      <c r="L224" s="43"/>
      <c r="M224" s="43"/>
      <c r="N224" s="43"/>
      <c r="O224" s="43"/>
    </row>
    <row r="225" spans="3:16" x14ac:dyDescent="0.2">
      <c r="C225" s="61"/>
      <c r="D225" s="61"/>
      <c r="E225" s="61"/>
      <c r="F225" s="61"/>
      <c r="G225" s="61"/>
      <c r="H225" s="61"/>
      <c r="I225" s="61"/>
      <c r="J225" s="61" t="s">
        <v>390</v>
      </c>
      <c r="K225" s="61"/>
      <c r="L225" s="92" t="s">
        <v>374</v>
      </c>
      <c r="M225" s="61"/>
      <c r="N225" s="92" t="s">
        <v>375</v>
      </c>
      <c r="O225" s="61"/>
    </row>
    <row r="226" spans="3:16" x14ac:dyDescent="0.2">
      <c r="C226" s="1" t="s">
        <v>370</v>
      </c>
      <c r="J226" s="90">
        <f>100*N226/Referencia!M89</f>
        <v>75.960620113150867</v>
      </c>
      <c r="L226" s="135">
        <f>N226/D17</f>
        <v>180.03313578443334</v>
      </c>
      <c r="M226" s="82"/>
      <c r="N226" s="135">
        <f>(H108-N178)/N157</f>
        <v>19992.679728861323</v>
      </c>
    </row>
    <row r="227" spans="3:16" x14ac:dyDescent="0.2">
      <c r="C227" s="1" t="s">
        <v>505</v>
      </c>
      <c r="J227" s="90">
        <f>100*N227/Referencia!M90</f>
        <v>111.1111111111111</v>
      </c>
      <c r="L227" s="135">
        <f>N227/D17</f>
        <v>35.113962638429435</v>
      </c>
      <c r="M227" s="82"/>
      <c r="N227" s="135">
        <f>(H117-N203)/N196</f>
        <v>3899.4055509975883</v>
      </c>
    </row>
    <row r="228" spans="3:16" x14ac:dyDescent="0.2">
      <c r="C228" s="1" t="s">
        <v>372</v>
      </c>
      <c r="J228" s="90">
        <f>100*N228/Referencia!M91</f>
        <v>100</v>
      </c>
      <c r="L228" s="135">
        <f>N228/D17</f>
        <v>5.6567783763579538</v>
      </c>
      <c r="M228" s="82"/>
      <c r="N228" s="135">
        <f>(H128-N221)</f>
        <v>628.18523869455078</v>
      </c>
    </row>
    <row r="229" spans="3:16" x14ac:dyDescent="0.2">
      <c r="L229" s="83"/>
      <c r="M229" s="83"/>
      <c r="N229" s="83"/>
    </row>
    <row r="230" spans="3:16" x14ac:dyDescent="0.2">
      <c r="C230" s="1" t="s">
        <v>373</v>
      </c>
      <c r="J230" s="90">
        <f>100*N230/Referencia!M93</f>
        <v>80.506654715503743</v>
      </c>
      <c r="L230" s="135">
        <f>L226+L227+L228</f>
        <v>220.80387679922072</v>
      </c>
      <c r="M230" s="83"/>
      <c r="N230" s="135">
        <f>N226+N227+N228</f>
        <v>24520.270518553461</v>
      </c>
    </row>
    <row r="231" spans="3:16" x14ac:dyDescent="0.2">
      <c r="J231" s="67"/>
      <c r="K231" s="12"/>
      <c r="L231" s="84"/>
      <c r="M231" s="85"/>
      <c r="N231" s="84"/>
    </row>
    <row r="233" spans="3:16" ht="15.75" x14ac:dyDescent="0.25">
      <c r="C233" s="86" t="s">
        <v>378</v>
      </c>
      <c r="D233" s="43"/>
      <c r="E233" s="43"/>
      <c r="F233" s="43"/>
      <c r="G233" s="43"/>
      <c r="H233" s="43"/>
      <c r="I233" s="43"/>
      <c r="J233" s="43"/>
      <c r="K233" s="43"/>
      <c r="L233" s="43"/>
      <c r="M233" s="43"/>
      <c r="N233" s="43"/>
      <c r="O233" s="43"/>
    </row>
    <row r="234" spans="3:16" x14ac:dyDescent="0.2">
      <c r="C234" s="61"/>
      <c r="D234" s="61"/>
      <c r="E234" s="61"/>
      <c r="F234" s="124" t="s">
        <v>493</v>
      </c>
      <c r="G234" s="61"/>
      <c r="H234" s="92" t="s">
        <v>362</v>
      </c>
      <c r="I234" s="61"/>
      <c r="J234" s="61" t="s">
        <v>508</v>
      </c>
      <c r="K234" s="61"/>
      <c r="L234" s="61"/>
      <c r="M234" s="61"/>
      <c r="N234" s="61"/>
      <c r="O234" s="61"/>
    </row>
    <row r="235" spans="3:16" x14ac:dyDescent="0.2">
      <c r="C235" s="12" t="s">
        <v>506</v>
      </c>
      <c r="D235" s="12"/>
      <c r="E235" s="12"/>
      <c r="F235" s="221">
        <v>52</v>
      </c>
      <c r="G235" s="12"/>
      <c r="H235" s="91">
        <v>1.25</v>
      </c>
      <c r="I235" s="12"/>
      <c r="J235" s="91">
        <f>H235*F235/100</f>
        <v>0.65</v>
      </c>
      <c r="K235" s="12"/>
      <c r="L235" s="12"/>
      <c r="M235" s="12"/>
      <c r="N235" s="12"/>
      <c r="O235" s="12"/>
    </row>
    <row r="236" spans="3:16" x14ac:dyDescent="0.2">
      <c r="C236" s="12" t="s">
        <v>507</v>
      </c>
      <c r="D236" s="12"/>
      <c r="E236" s="12"/>
      <c r="F236" s="221">
        <v>24</v>
      </c>
      <c r="G236" s="12"/>
      <c r="H236" s="91">
        <v>2.4</v>
      </c>
      <c r="I236" s="12"/>
      <c r="J236" s="91">
        <f>H236*F236/100</f>
        <v>0.57599999999999996</v>
      </c>
      <c r="K236" s="12"/>
      <c r="L236" s="12"/>
      <c r="M236" s="12"/>
      <c r="N236" s="12"/>
      <c r="O236" s="12"/>
    </row>
    <row r="237" spans="3:16" x14ac:dyDescent="0.2">
      <c r="C237" s="12" t="s">
        <v>492</v>
      </c>
      <c r="D237" s="12"/>
      <c r="E237" s="12"/>
      <c r="F237" s="221">
        <v>24</v>
      </c>
      <c r="G237" s="12"/>
      <c r="H237" s="91">
        <v>3.13</v>
      </c>
      <c r="I237" s="12"/>
      <c r="J237" s="91">
        <f>H237*F237/100</f>
        <v>0.75120000000000009</v>
      </c>
      <c r="K237" s="12"/>
      <c r="L237" s="12"/>
      <c r="M237" s="12"/>
      <c r="N237" s="12"/>
      <c r="O237" s="12"/>
    </row>
    <row r="238" spans="3:16" x14ac:dyDescent="0.2">
      <c r="C238" s="12"/>
      <c r="D238" s="12"/>
      <c r="E238" s="12"/>
      <c r="F238" s="12"/>
      <c r="G238" s="12"/>
      <c r="H238" s="12"/>
      <c r="I238" s="12"/>
      <c r="J238" s="12"/>
      <c r="K238" s="12"/>
      <c r="L238" s="12"/>
      <c r="M238" s="12"/>
      <c r="N238" s="12"/>
      <c r="O238" s="12"/>
    </row>
    <row r="239" spans="3:16" x14ac:dyDescent="0.2">
      <c r="C239" s="12" t="s">
        <v>494</v>
      </c>
      <c r="D239" s="12"/>
      <c r="E239" s="12"/>
      <c r="F239" s="125">
        <f>J235+J236+J237</f>
        <v>1.9772000000000001</v>
      </c>
      <c r="G239" s="12"/>
      <c r="H239" s="12"/>
      <c r="I239" s="12"/>
      <c r="J239" s="12"/>
      <c r="K239" s="12"/>
      <c r="L239" s="12"/>
      <c r="M239" s="12"/>
      <c r="N239" s="12"/>
      <c r="O239" s="12"/>
    </row>
    <row r="240" spans="3:16" x14ac:dyDescent="0.2">
      <c r="C240" s="61"/>
      <c r="D240" s="61"/>
      <c r="E240" s="61"/>
      <c r="F240" s="61"/>
      <c r="G240" s="61"/>
      <c r="H240" s="61"/>
      <c r="I240" s="61"/>
      <c r="J240" s="61" t="s">
        <v>390</v>
      </c>
      <c r="K240" s="61"/>
      <c r="L240" s="92" t="s">
        <v>374</v>
      </c>
      <c r="M240" s="61"/>
      <c r="N240" s="92" t="s">
        <v>375</v>
      </c>
      <c r="O240" s="61"/>
      <c r="P240" s="8" t="s">
        <v>455</v>
      </c>
    </row>
    <row r="241" spans="3:16" x14ac:dyDescent="0.2">
      <c r="C241" s="1" t="s">
        <v>370</v>
      </c>
      <c r="J241" s="90">
        <f>100*N241/Referencia!M97</f>
        <v>75.960620113150853</v>
      </c>
      <c r="L241" s="135">
        <f>N241/D17</f>
        <v>198.03644936287671</v>
      </c>
      <c r="M241" s="82"/>
      <c r="N241" s="135">
        <f>N226*'R2'!D35</f>
        <v>21991.947701747456</v>
      </c>
      <c r="P241" s="13">
        <f>100*L241/L$245</f>
        <v>79.861339995853811</v>
      </c>
    </row>
    <row r="242" spans="3:16" x14ac:dyDescent="0.2">
      <c r="C242" s="1" t="s">
        <v>505</v>
      </c>
      <c r="J242" s="90">
        <f>100*N242/Referencia!M98</f>
        <v>111.11111111111111</v>
      </c>
      <c r="L242" s="135">
        <f>N242/D17</f>
        <v>38.625358902272382</v>
      </c>
      <c r="M242" s="82"/>
      <c r="N242" s="135">
        <f>N227*'R2'!D48</f>
        <v>4289.3461060973477</v>
      </c>
      <c r="P242" s="13">
        <f>100*L242/L$245</f>
        <v>15.576288757348811</v>
      </c>
    </row>
    <row r="243" spans="3:16" x14ac:dyDescent="0.2">
      <c r="C243" s="1" t="s">
        <v>372</v>
      </c>
      <c r="J243" s="90">
        <f>100*N243/Referencia!M99</f>
        <v>100</v>
      </c>
      <c r="L243" s="135">
        <f>N243/D17</f>
        <v>11.313556752715908</v>
      </c>
      <c r="M243" s="82"/>
      <c r="N243" s="135">
        <f>N228*'R2'!B35</f>
        <v>1256.3704773891016</v>
      </c>
      <c r="P243" s="13">
        <f>100*L243/L$245</f>
        <v>4.5623712467973752</v>
      </c>
    </row>
    <row r="244" spans="3:16" x14ac:dyDescent="0.2">
      <c r="L244" s="83"/>
      <c r="M244" s="83"/>
      <c r="N244" s="83"/>
      <c r="P244" s="13"/>
    </row>
    <row r="245" spans="3:16" x14ac:dyDescent="0.2">
      <c r="C245" s="1" t="s">
        <v>373</v>
      </c>
      <c r="J245" s="90">
        <f>100*N245/Referencia!M101</f>
        <v>80.83014621663142</v>
      </c>
      <c r="L245" s="135">
        <f>L241+L242+L243</f>
        <v>247.97536501786499</v>
      </c>
      <c r="M245" s="83"/>
      <c r="N245" s="135">
        <f>N241+N242+N243</f>
        <v>27537.664285233906</v>
      </c>
      <c r="P245" s="13">
        <f>100*L245/L$245</f>
        <v>99.999999999999986</v>
      </c>
    </row>
    <row r="247" spans="3:16" ht="15.75" x14ac:dyDescent="0.25">
      <c r="C247" s="86" t="s">
        <v>379</v>
      </c>
      <c r="D247" s="43"/>
      <c r="E247" s="43"/>
      <c r="F247" s="43"/>
      <c r="G247" s="43"/>
      <c r="H247" s="43"/>
      <c r="I247" s="43"/>
      <c r="J247" s="43"/>
      <c r="K247" s="43"/>
      <c r="L247" s="43"/>
      <c r="M247" s="43"/>
      <c r="N247" s="43"/>
      <c r="O247" s="43"/>
    </row>
    <row r="248" spans="3:16" x14ac:dyDescent="0.2">
      <c r="C248" s="61"/>
      <c r="D248" s="61"/>
      <c r="E248" s="61"/>
      <c r="F248" s="61"/>
      <c r="G248" s="61"/>
      <c r="H248" s="61"/>
      <c r="I248" s="61"/>
      <c r="J248" s="61" t="s">
        <v>416</v>
      </c>
      <c r="K248" s="61"/>
      <c r="L248" s="61"/>
      <c r="M248" s="61"/>
      <c r="N248" s="92" t="s">
        <v>435</v>
      </c>
      <c r="O248" s="61"/>
    </row>
    <row r="249" spans="3:16" x14ac:dyDescent="0.2">
      <c r="C249" s="1" t="s">
        <v>430</v>
      </c>
      <c r="J249" s="150">
        <f>'R2'!F35</f>
        <v>0.22800000000000001</v>
      </c>
      <c r="L249" s="1" t="s">
        <v>436</v>
      </c>
      <c r="N249" s="130">
        <f>N241*J249</f>
        <v>5014.1640759984202</v>
      </c>
      <c r="O249" s="1" t="s">
        <v>437</v>
      </c>
    </row>
    <row r="250" spans="3:16" x14ac:dyDescent="0.2">
      <c r="C250" s="1" t="s">
        <v>432</v>
      </c>
      <c r="J250" s="150">
        <f>'R2'!F48</f>
        <v>0.22800000000000001</v>
      </c>
      <c r="N250" s="130">
        <f>J250*N242</f>
        <v>977.97091219019535</v>
      </c>
      <c r="O250" s="1" t="s">
        <v>437</v>
      </c>
    </row>
    <row r="251" spans="3:16" x14ac:dyDescent="0.2">
      <c r="C251" s="1" t="s">
        <v>433</v>
      </c>
      <c r="J251" s="150">
        <f>'R2'!E35</f>
        <v>0.307</v>
      </c>
      <c r="N251" s="130">
        <f>J251*N243</f>
        <v>385.70573655845419</v>
      </c>
      <c r="O251" s="1" t="s">
        <v>437</v>
      </c>
    </row>
    <row r="253" spans="3:16" x14ac:dyDescent="0.2">
      <c r="J253" s="1" t="s">
        <v>390</v>
      </c>
      <c r="L253" s="143" t="s">
        <v>629</v>
      </c>
      <c r="N253" s="9" t="s">
        <v>438</v>
      </c>
    </row>
    <row r="254" spans="3:16" x14ac:dyDescent="0.2">
      <c r="C254" s="1" t="s">
        <v>434</v>
      </c>
      <c r="J254" s="90">
        <f>100*N254/Referencia!M110</f>
        <v>72.530346694303702</v>
      </c>
      <c r="L254" s="135">
        <f>N254/D17</f>
        <v>57.432154207537771</v>
      </c>
      <c r="N254" s="130">
        <f>N249+N250+N251</f>
        <v>6377.8407247470695</v>
      </c>
    </row>
    <row r="256" spans="3:16" ht="15.75" x14ac:dyDescent="0.25">
      <c r="C256" s="86" t="s">
        <v>472</v>
      </c>
      <c r="D256" s="43"/>
      <c r="E256" s="43"/>
      <c r="F256" s="43"/>
      <c r="G256" s="43"/>
      <c r="H256" s="43"/>
      <c r="I256" s="43"/>
      <c r="J256" s="43"/>
      <c r="K256" s="43"/>
      <c r="L256" s="43"/>
      <c r="M256" s="43"/>
      <c r="N256" s="43"/>
      <c r="O256" s="43"/>
    </row>
    <row r="257" spans="1:15" x14ac:dyDescent="0.2">
      <c r="D257" s="153"/>
    </row>
    <row r="258" spans="1:15" s="214" customFormat="1" ht="25.5" x14ac:dyDescent="0.2">
      <c r="A258" s="210"/>
      <c r="B258" s="211"/>
      <c r="C258" s="212" t="s">
        <v>630</v>
      </c>
      <c r="D258" s="213" t="s">
        <v>636</v>
      </c>
      <c r="E258" s="212"/>
      <c r="F258" s="212" t="s">
        <v>637</v>
      </c>
      <c r="G258" s="212"/>
      <c r="H258" s="212" t="s">
        <v>638</v>
      </c>
      <c r="I258" s="212"/>
      <c r="J258" s="212"/>
      <c r="K258" s="212"/>
      <c r="L258" s="212"/>
      <c r="M258" s="212"/>
      <c r="N258" s="212"/>
      <c r="O258" s="212"/>
    </row>
    <row r="259" spans="1:15" x14ac:dyDescent="0.2">
      <c r="C259" s="209" t="s">
        <v>631</v>
      </c>
      <c r="D259" s="216">
        <f>CE_Chile!F212</f>
        <v>0.5</v>
      </c>
      <c r="F259" s="215">
        <v>4</v>
      </c>
      <c r="H259" s="215">
        <f>D259*F259</f>
        <v>2</v>
      </c>
    </row>
    <row r="260" spans="1:15" x14ac:dyDescent="0.2">
      <c r="C260" s="209" t="s">
        <v>633</v>
      </c>
      <c r="D260" s="216">
        <f>CE_Chile!F213</f>
        <v>1</v>
      </c>
      <c r="F260" s="215">
        <v>2</v>
      </c>
      <c r="H260" s="215">
        <f>D260*F260</f>
        <v>2</v>
      </c>
    </row>
    <row r="261" spans="1:15" x14ac:dyDescent="0.2">
      <c r="C261" s="209" t="s">
        <v>634</v>
      </c>
      <c r="D261" s="216">
        <f>CE_Chile!F214</f>
        <v>0.5</v>
      </c>
      <c r="F261" s="215">
        <v>1</v>
      </c>
      <c r="H261" s="215">
        <f>D261*F261</f>
        <v>0.5</v>
      </c>
    </row>
    <row r="262" spans="1:15" x14ac:dyDescent="0.2">
      <c r="C262" s="209" t="s">
        <v>635</v>
      </c>
      <c r="D262" s="216">
        <f>CE_Chile!F215</f>
        <v>0</v>
      </c>
      <c r="F262" s="215">
        <v>1</v>
      </c>
      <c r="H262" s="215">
        <f>D262*F262</f>
        <v>0</v>
      </c>
    </row>
    <row r="263" spans="1:15" x14ac:dyDescent="0.2">
      <c r="C263" s="209" t="s">
        <v>632</v>
      </c>
      <c r="D263" s="216">
        <f>CE_Chile!F216</f>
        <v>0</v>
      </c>
      <c r="F263" s="215">
        <v>1</v>
      </c>
      <c r="H263" s="215">
        <f>D263*F263</f>
        <v>0</v>
      </c>
    </row>
    <row r="264" spans="1:15" x14ac:dyDescent="0.2">
      <c r="D264" s="153"/>
      <c r="F264" s="1" t="s">
        <v>435</v>
      </c>
      <c r="H264" s="9">
        <f>SUM(H259:H263)</f>
        <v>4.5</v>
      </c>
      <c r="J264" s="1" t="s">
        <v>639</v>
      </c>
      <c r="N264" s="222">
        <f>((H264+4*'R1'!F91)*3/13)*'R1'!G91</f>
        <v>1.9615384615384615</v>
      </c>
    </row>
    <row r="266" spans="1:15" ht="15.75" x14ac:dyDescent="0.25">
      <c r="C266" s="86" t="s">
        <v>650</v>
      </c>
      <c r="D266" s="43"/>
      <c r="E266" s="43"/>
      <c r="F266" s="43"/>
      <c r="G266" s="43"/>
      <c r="H266" s="43"/>
      <c r="I266" s="43"/>
      <c r="J266" s="43"/>
      <c r="K266" s="43"/>
      <c r="L266" s="43"/>
      <c r="M266" s="43"/>
      <c r="N266" s="43"/>
      <c r="O266" s="43"/>
    </row>
    <row r="267" spans="1:15" ht="15.75" x14ac:dyDescent="0.25">
      <c r="C267" s="132" t="s">
        <v>392</v>
      </c>
      <c r="D267" s="126"/>
      <c r="E267" s="126"/>
      <c r="F267" s="126"/>
      <c r="G267" s="126"/>
      <c r="H267" s="126"/>
      <c r="I267" s="126"/>
      <c r="J267" s="126"/>
      <c r="K267" s="126"/>
      <c r="L267" s="126"/>
      <c r="M267" s="126"/>
      <c r="N267" s="126"/>
      <c r="O267" s="126"/>
    </row>
    <row r="268" spans="1:15" ht="13.5" thickBot="1" x14ac:dyDescent="0.25"/>
    <row r="269" spans="1:15" x14ac:dyDescent="0.2">
      <c r="C269" s="51" t="s">
        <v>408</v>
      </c>
      <c r="D269" s="26"/>
      <c r="E269" s="26"/>
      <c r="F269" s="26"/>
      <c r="G269" s="26"/>
      <c r="H269" s="26"/>
      <c r="I269" s="26"/>
      <c r="J269" s="28"/>
    </row>
    <row r="270" spans="1:15" ht="14.25" x14ac:dyDescent="0.2">
      <c r="C270" s="49" t="s">
        <v>394</v>
      </c>
      <c r="D270" s="52">
        <f>100*H270/(Referencia!G52+Referencia!G69)</f>
        <v>76.812060074601746</v>
      </c>
      <c r="E270" s="24"/>
      <c r="F270" s="24" t="s">
        <v>400</v>
      </c>
      <c r="G270" s="24"/>
      <c r="H270" s="53">
        <f>(H108+H128)/D17</f>
        <v>122.67831663623963</v>
      </c>
      <c r="I270" s="24" t="s">
        <v>309</v>
      </c>
      <c r="J270" s="23"/>
    </row>
    <row r="271" spans="1:15" ht="13.5" thickBot="1" x14ac:dyDescent="0.25">
      <c r="C271" s="54" t="s">
        <v>395</v>
      </c>
      <c r="D271" s="55" t="str">
        <f>IF(D270&lt;'R3'!B6,'R3'!A5,IF(D270&lt;'R3'!B7,'R3'!A6,IF(D270&lt;'R3'!B8,'R3'!A7,IF(D270&lt;'R3'!B9,'R3'!A8, IF(D270&lt;'R3'!B10,'R3'!A9,IF(D270&lt;'R3'!B11,'R3'!A10,'R3'!A11))))))</f>
        <v>D</v>
      </c>
      <c r="E271" s="25"/>
      <c r="F271" s="25"/>
      <c r="G271" s="25"/>
      <c r="H271" s="25"/>
      <c r="I271" s="25"/>
      <c r="J271" s="56"/>
    </row>
    <row r="272" spans="1:15" ht="13.5" thickBot="1" x14ac:dyDescent="0.25">
      <c r="C272" s="24"/>
      <c r="D272" s="225" t="str">
        <f>IF('R1'!E$130="+",F272,D271)</f>
        <v>D+</v>
      </c>
      <c r="E272" s="225"/>
      <c r="F272" s="225" t="str">
        <f>CONCATENATE(D271,"+")</f>
        <v>D+</v>
      </c>
      <c r="G272" s="24"/>
      <c r="H272" s="24"/>
    </row>
    <row r="273" spans="3:15" x14ac:dyDescent="0.2">
      <c r="C273" s="51" t="s">
        <v>509</v>
      </c>
      <c r="D273" s="26"/>
      <c r="E273" s="26"/>
      <c r="F273" s="26"/>
      <c r="G273" s="26"/>
      <c r="H273" s="26"/>
      <c r="I273" s="26"/>
      <c r="J273" s="28"/>
    </row>
    <row r="274" spans="3:15" ht="14.25" x14ac:dyDescent="0.2">
      <c r="C274" s="49" t="s">
        <v>394</v>
      </c>
      <c r="D274" s="52">
        <f>J245</f>
        <v>80.83014621663142</v>
      </c>
      <c r="E274" s="24"/>
      <c r="F274" s="24" t="s">
        <v>400</v>
      </c>
      <c r="G274" s="24"/>
      <c r="H274" s="57">
        <f>L245</f>
        <v>247.97536501786499</v>
      </c>
      <c r="I274" s="24" t="s">
        <v>309</v>
      </c>
      <c r="J274" s="23"/>
    </row>
    <row r="275" spans="3:15" ht="13.5" thickBot="1" x14ac:dyDescent="0.25">
      <c r="C275" s="54" t="s">
        <v>395</v>
      </c>
      <c r="D275" s="55" t="str">
        <f>IF(D274&lt;'R3'!B15,'R3'!A14,IF(D274&lt;'R3'!B16,'R3'!A15,IF(D274&lt;'R3'!B17,'R3'!A16,IF(D274&lt;'R3'!B18,'R3'!A17, IF(D274&lt;'R3'!B19,'R3'!A18,IF(D274&lt;'R3'!B20,'R3'!A19,'R3'!A20))))))</f>
        <v>E</v>
      </c>
      <c r="E275" s="25"/>
      <c r="F275" s="25"/>
      <c r="G275" s="25"/>
      <c r="H275" s="25"/>
      <c r="I275" s="25"/>
      <c r="J275" s="56"/>
    </row>
    <row r="276" spans="3:15" x14ac:dyDescent="0.2">
      <c r="D276" s="225" t="str">
        <f>IF('R1'!E$130="+",F276,D275)</f>
        <v>E+</v>
      </c>
      <c r="F276" s="24" t="str">
        <f>CONCATENATE(D275,"+")</f>
        <v>E+</v>
      </c>
    </row>
    <row r="277" spans="3:15" ht="15.75" x14ac:dyDescent="0.25">
      <c r="C277" s="132" t="s">
        <v>651</v>
      </c>
      <c r="D277" s="126"/>
      <c r="E277" s="126"/>
      <c r="F277" s="126"/>
      <c r="G277" s="126"/>
      <c r="H277" s="126"/>
      <c r="I277" s="126"/>
      <c r="J277" s="126"/>
      <c r="K277" s="126"/>
      <c r="L277" s="126"/>
      <c r="M277" s="126"/>
      <c r="N277" s="126"/>
      <c r="O277" s="126"/>
    </row>
    <row r="278" spans="3:15" ht="13.5" thickBot="1" x14ac:dyDescent="0.25"/>
    <row r="279" spans="3:15" x14ac:dyDescent="0.2">
      <c r="C279" s="51" t="s">
        <v>652</v>
      </c>
      <c r="D279" s="26"/>
      <c r="E279" s="26"/>
      <c r="F279" s="26"/>
      <c r="G279" s="26"/>
      <c r="H279" s="26"/>
      <c r="I279" s="26"/>
      <c r="J279" s="28"/>
    </row>
    <row r="280" spans="3:15" ht="15" thickBot="1" x14ac:dyDescent="0.25">
      <c r="C280" s="54" t="s">
        <v>394</v>
      </c>
      <c r="D280" s="223">
        <f>J230</f>
        <v>80.506654715503743</v>
      </c>
      <c r="E280" s="25"/>
      <c r="F280" s="25" t="s">
        <v>400</v>
      </c>
      <c r="G280" s="25"/>
      <c r="H280" s="224">
        <f>L230</f>
        <v>220.80387679922072</v>
      </c>
      <c r="I280" s="25" t="s">
        <v>309</v>
      </c>
      <c r="J280" s="56"/>
    </row>
    <row r="281" spans="3:15" ht="13.5" thickBot="1" x14ac:dyDescent="0.25"/>
    <row r="282" spans="3:15" x14ac:dyDescent="0.2">
      <c r="C282" s="51" t="s">
        <v>653</v>
      </c>
      <c r="D282" s="26"/>
      <c r="E282" s="26"/>
      <c r="F282" s="26"/>
      <c r="G282" s="26"/>
      <c r="H282" s="26"/>
      <c r="I282" s="26"/>
      <c r="J282" s="28"/>
    </row>
    <row r="283" spans="3:15" ht="13.5" thickBot="1" x14ac:dyDescent="0.25">
      <c r="C283" s="54" t="s">
        <v>639</v>
      </c>
      <c r="D283" s="223">
        <f>N264</f>
        <v>1.9615384615384615</v>
      </c>
      <c r="E283" s="25"/>
      <c r="F283" s="25"/>
      <c r="G283" s="25"/>
      <c r="H283" s="224"/>
      <c r="I283" s="25"/>
      <c r="J283" s="56"/>
    </row>
    <row r="284" spans="3:15" ht="13.5" thickBot="1" x14ac:dyDescent="0.25"/>
    <row r="285" spans="3:15" x14ac:dyDescent="0.2">
      <c r="C285" s="51" t="s">
        <v>654</v>
      </c>
      <c r="D285" s="26"/>
      <c r="E285" s="26"/>
      <c r="F285" s="26"/>
      <c r="G285" s="26"/>
      <c r="H285" s="26"/>
      <c r="I285" s="26"/>
      <c r="J285" s="28"/>
    </row>
    <row r="286" spans="3:15" x14ac:dyDescent="0.2">
      <c r="C286" s="49" t="s">
        <v>656</v>
      </c>
      <c r="D286" s="24"/>
      <c r="E286" s="24"/>
      <c r="F286" s="24"/>
      <c r="G286" s="24"/>
      <c r="H286" s="225" t="s">
        <v>657</v>
      </c>
      <c r="I286" s="24"/>
      <c r="J286" s="23"/>
    </row>
    <row r="287" spans="3:15" x14ac:dyDescent="0.2">
      <c r="C287" s="49" t="s">
        <v>655</v>
      </c>
      <c r="D287" s="52">
        <f>N267</f>
        <v>0</v>
      </c>
      <c r="E287" s="24"/>
      <c r="F287" s="24"/>
      <c r="G287" s="24"/>
      <c r="H287" s="53">
        <f>N176</f>
        <v>0</v>
      </c>
      <c r="I287" s="24" t="s">
        <v>428</v>
      </c>
      <c r="J287" s="23"/>
    </row>
    <row r="288" spans="3:15" x14ac:dyDescent="0.2">
      <c r="C288" s="49" t="s">
        <v>658</v>
      </c>
      <c r="D288" s="24"/>
      <c r="E288" s="24"/>
      <c r="F288" s="24"/>
      <c r="G288" s="24"/>
      <c r="H288" s="53">
        <f>N219</f>
        <v>0</v>
      </c>
      <c r="I288" s="24"/>
      <c r="J288" s="23"/>
    </row>
    <row r="289" spans="3:15" ht="13.5" thickBot="1" x14ac:dyDescent="0.25">
      <c r="C289" s="54" t="s">
        <v>659</v>
      </c>
      <c r="D289" s="25"/>
      <c r="E289" s="25"/>
      <c r="F289" s="25"/>
      <c r="G289" s="25"/>
      <c r="H289" s="224">
        <f>N175</f>
        <v>0</v>
      </c>
      <c r="I289" s="25"/>
      <c r="J289" s="56"/>
    </row>
    <row r="291" spans="3:15" x14ac:dyDescent="0.2">
      <c r="C291" s="61" t="s">
        <v>959</v>
      </c>
      <c r="D291" s="61"/>
      <c r="E291" s="61"/>
      <c r="F291" s="61"/>
      <c r="G291" s="61"/>
      <c r="H291" s="61"/>
      <c r="I291" s="61"/>
      <c r="J291" s="61"/>
      <c r="K291" s="61"/>
      <c r="L291" s="61"/>
      <c r="M291" s="61"/>
      <c r="N291" s="61"/>
      <c r="O291" s="61"/>
    </row>
    <row r="293" spans="3:15" x14ac:dyDescent="0.2">
      <c r="C293" s="1" t="s">
        <v>960</v>
      </c>
    </row>
    <row r="295" spans="3:15" x14ac:dyDescent="0.2">
      <c r="C295" s="1" t="s">
        <v>962</v>
      </c>
      <c r="F295" s="618">
        <f>IF(Referencia!G55=1,0,'Vivienda Objeto'!H270)</f>
        <v>122.67831663623963</v>
      </c>
    </row>
    <row r="296" spans="3:15" x14ac:dyDescent="0.2">
      <c r="C296" s="1" t="s">
        <v>961</v>
      </c>
      <c r="F296" s="618">
        <f>IF('R1'!D136=1,0,F295)</f>
        <v>0</v>
      </c>
    </row>
  </sheetData>
  <customSheetViews>
    <customSheetView guid="{2239797F-3020-4364-93B0-F22DAADF645D}" scale="120" showGridLines="0" outlineSymbols="0" zeroValues="0" state="hidden" showRuler="0" topLeftCell="A211">
      <selection activeCell="P200" sqref="P200"/>
      <pageMargins left="0.7" right="0.7" top="0.75" bottom="0.75" header="0.3" footer="0.3"/>
      <pageSetup paperSize="9" orientation="landscape" horizontalDpi="300" verticalDpi="300"/>
      <headerFooter alignWithMargins="0"/>
    </customSheetView>
  </customSheetViews>
  <mergeCells count="6">
    <mergeCell ref="C2:D2"/>
    <mergeCell ref="G4:O4"/>
    <mergeCell ref="G8:O8"/>
    <mergeCell ref="G5:O5"/>
    <mergeCell ref="G6:O6"/>
    <mergeCell ref="G7:O7"/>
  </mergeCells>
  <phoneticPr fontId="7" type="noConversion"/>
  <conditionalFormatting sqref="F70">
    <cfRule type="cellIs" dxfId="7" priority="1" stopIfTrue="1" operator="greaterThan">
      <formula>D28+D29+0.1</formula>
    </cfRule>
    <cfRule type="cellIs" dxfId="6" priority="2" stopIfTrue="1" operator="lessThan">
      <formula>D28+D29-0.1</formula>
    </cfRule>
  </conditionalFormatting>
  <conditionalFormatting sqref="F44 F40 F37">
    <cfRule type="cellIs" dxfId="5" priority="3" stopIfTrue="1" operator="greaterThan">
      <formula>$J$35</formula>
    </cfRule>
  </conditionalFormatting>
  <conditionalFormatting sqref="F30:F31">
    <cfRule type="cellIs" dxfId="4" priority="4" stopIfTrue="1" operator="greaterThan">
      <formula>$J$30</formula>
    </cfRule>
  </conditionalFormatting>
  <conditionalFormatting sqref="F32">
    <cfRule type="cellIs" dxfId="3" priority="5" stopIfTrue="1" operator="greaterThan">
      <formula>$J$32</formula>
    </cfRule>
  </conditionalFormatting>
  <conditionalFormatting sqref="F33:F34">
    <cfRule type="cellIs" dxfId="2" priority="6" stopIfTrue="1" operator="greaterThan">
      <formula>$J$33</formula>
    </cfRule>
  </conditionalFormatting>
  <conditionalFormatting sqref="F35">
    <cfRule type="cellIs" dxfId="1" priority="7" stopIfTrue="1" operator="greaterThan">
      <formula>$J$35</formula>
    </cfRule>
  </conditionalFormatting>
  <conditionalFormatting sqref="F36">
    <cfRule type="cellIs" dxfId="0" priority="8" stopIfTrue="1" operator="greaterThan">
      <formula>$J$36</formula>
    </cfRule>
  </conditionalFormatting>
  <pageMargins left="0.74803149606299213" right="0.22" top="0.59" bottom="0.5" header="0" footer="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087" r:id="rId3" name="Drop Down 63">
              <controlPr locked="0" defaultSize="0" autoLine="0" autoPict="0">
                <anchor moveWithCells="1">
                  <from>
                    <xdr:col>2</xdr:col>
                    <xdr:colOff>38100</xdr:colOff>
                    <xdr:row>197</xdr:row>
                    <xdr:rowOff>38100</xdr:rowOff>
                  </from>
                  <to>
                    <xdr:col>10</xdr:col>
                    <xdr:colOff>66675</xdr:colOff>
                    <xdr:row>198</xdr:row>
                    <xdr:rowOff>9525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enableFormatConditionsCalculation="0">
    <pageSetUpPr fitToPage="1"/>
  </sheetPr>
  <dimension ref="A1:Q110"/>
  <sheetViews>
    <sheetView showGridLines="0" topLeftCell="A97" zoomScale="120" workbookViewId="0">
      <selection activeCell="A97" sqref="A1:XFD1048576"/>
    </sheetView>
  </sheetViews>
  <sheetFormatPr baseColWidth="10" defaultRowHeight="12.75" x14ac:dyDescent="0.2"/>
  <cols>
    <col min="1" max="1" width="2.42578125" style="1" customWidth="1"/>
    <col min="2" max="2" width="15" style="1" customWidth="1"/>
    <col min="3" max="3" width="10.85546875" style="1"/>
    <col min="4" max="4" width="1.42578125" style="1" bestFit="1" customWidth="1"/>
    <col min="5" max="5" width="11.42578125" style="1" customWidth="1"/>
    <col min="6" max="6" width="2.140625" style="1" bestFit="1" customWidth="1"/>
    <col min="7" max="7" width="14.42578125" style="1" customWidth="1"/>
    <col min="8" max="8" width="6.42578125" style="1" customWidth="1"/>
    <col min="9" max="9" width="10.140625" style="1" customWidth="1"/>
    <col min="10" max="10" width="1.42578125" style="1" customWidth="1"/>
    <col min="11" max="11" width="10" style="1" customWidth="1"/>
    <col min="12" max="12" width="2.140625" style="1" customWidth="1"/>
    <col min="13" max="13" width="12.85546875" style="1" customWidth="1"/>
    <col min="14" max="14" width="10" customWidth="1"/>
  </cols>
  <sheetData>
    <row r="1" spans="2:17" ht="61.5" customHeight="1" x14ac:dyDescent="0.2"/>
    <row r="2" spans="2:17" x14ac:dyDescent="0.2">
      <c r="B2" s="1" t="s">
        <v>380</v>
      </c>
    </row>
    <row r="4" spans="2:17" x14ac:dyDescent="0.2">
      <c r="B4" s="3" t="s">
        <v>295</v>
      </c>
      <c r="C4" s="88">
        <f>'Vivienda Objeto'!D17</f>
        <v>111.05</v>
      </c>
      <c r="E4" s="1" t="s">
        <v>265</v>
      </c>
      <c r="G4" s="88">
        <f>'Vivienda Objeto'!H17</f>
        <v>260.96750000000003</v>
      </c>
    </row>
    <row r="5" spans="2:17" ht="14.25" x14ac:dyDescent="0.25">
      <c r="B5" s="1" t="s">
        <v>486</v>
      </c>
      <c r="G5" s="90">
        <f>'Vivienda Objeto'!H22</f>
        <v>86.119275000000016</v>
      </c>
      <c r="H5" s="1" t="s">
        <v>283</v>
      </c>
    </row>
    <row r="7" spans="2:17" ht="16.5" x14ac:dyDescent="0.25">
      <c r="B7" s="86" t="s">
        <v>267</v>
      </c>
      <c r="C7" s="145"/>
      <c r="D7" s="145"/>
      <c r="E7" s="145"/>
      <c r="F7" s="145"/>
      <c r="G7" s="145"/>
      <c r="H7" s="43"/>
      <c r="I7" s="43"/>
      <c r="J7" s="43"/>
      <c r="K7" s="43"/>
      <c r="L7" s="43"/>
      <c r="M7" s="43"/>
      <c r="N7" s="149"/>
    </row>
    <row r="9" spans="2:17" x14ac:dyDescent="0.2">
      <c r="B9" s="1" t="s">
        <v>276</v>
      </c>
      <c r="C9" s="2" t="s">
        <v>260</v>
      </c>
      <c r="E9" s="1" t="s">
        <v>277</v>
      </c>
      <c r="G9" s="1" t="s">
        <v>278</v>
      </c>
    </row>
    <row r="10" spans="2:17" x14ac:dyDescent="0.2">
      <c r="B10" s="1" t="s">
        <v>456</v>
      </c>
      <c r="C10" s="91">
        <f>'Vivienda Objeto'!D28+'Vivienda Objeto'!D29</f>
        <v>23.57</v>
      </c>
      <c r="D10" s="64" t="s">
        <v>261</v>
      </c>
      <c r="E10" s="91">
        <v>5.8</v>
      </c>
      <c r="F10" s="64" t="s">
        <v>262</v>
      </c>
      <c r="G10" s="90">
        <f>C10*E10</f>
        <v>136.70599999999999</v>
      </c>
      <c r="P10" t="s">
        <v>237</v>
      </c>
      <c r="Q10" t="s">
        <v>238</v>
      </c>
    </row>
    <row r="11" spans="2:17" x14ac:dyDescent="0.2">
      <c r="B11" s="1" t="s">
        <v>568</v>
      </c>
      <c r="C11" s="91">
        <f>'Vivienda Objeto'!D30+'Vivienda Objeto'!D31</f>
        <v>0</v>
      </c>
      <c r="D11" s="64"/>
      <c r="E11" s="91">
        <f>'R1'!L63</f>
        <v>0.7</v>
      </c>
      <c r="F11" s="64"/>
      <c r="G11" s="90">
        <f>C11*E11</f>
        <v>0</v>
      </c>
      <c r="K11" s="1" t="s">
        <v>456</v>
      </c>
      <c r="M11" s="64">
        <f>100*G10/K21</f>
        <v>23.832869358067519</v>
      </c>
      <c r="N11">
        <v>15.754875862443633</v>
      </c>
      <c r="O11" s="13">
        <f t="shared" ref="O11:O16" si="0">M11*K$21/100</f>
        <v>136.70599999999999</v>
      </c>
      <c r="P11" s="16">
        <f>'Vivienda Objeto'!D28+'Vivienda Objeto'!D29</f>
        <v>23.57</v>
      </c>
    </row>
    <row r="12" spans="2:17" x14ac:dyDescent="0.2">
      <c r="B12" s="1" t="s">
        <v>457</v>
      </c>
      <c r="C12" s="91">
        <f>'Vivienda Objeto'!F39-Referencia!C10</f>
        <v>128.68</v>
      </c>
      <c r="D12" s="64" t="s">
        <v>261</v>
      </c>
      <c r="E12" s="91">
        <f>'R1'!K63</f>
        <v>1.9</v>
      </c>
      <c r="F12" s="64" t="s">
        <v>262</v>
      </c>
      <c r="G12" s="90">
        <f>C12*E12</f>
        <v>244.49199999999999</v>
      </c>
      <c r="K12" s="1" t="s">
        <v>909</v>
      </c>
      <c r="M12" s="64">
        <f>100*(G12+G22)/K21</f>
        <v>45.746640608564</v>
      </c>
      <c r="N12">
        <v>56.565437061987282</v>
      </c>
      <c r="O12" s="13">
        <f t="shared" si="0"/>
        <v>262.404</v>
      </c>
    </row>
    <row r="13" spans="2:17" x14ac:dyDescent="0.2">
      <c r="B13" s="1" t="s">
        <v>268</v>
      </c>
      <c r="C13" s="91">
        <f>'Vivienda Objeto'!D35+'Vivienda Objeto'!D36</f>
        <v>71.650000000000006</v>
      </c>
      <c r="D13" s="64" t="s">
        <v>261</v>
      </c>
      <c r="E13" s="91">
        <f>'R1'!J63</f>
        <v>0.47</v>
      </c>
      <c r="F13" s="64" t="s">
        <v>262</v>
      </c>
      <c r="G13" s="90">
        <f>C13*E13</f>
        <v>33.6755</v>
      </c>
      <c r="K13" s="1" t="s">
        <v>745</v>
      </c>
      <c r="M13" s="64">
        <f>100*(G11+G18+G19)/K21</f>
        <v>9.5358673953416631</v>
      </c>
      <c r="N13">
        <v>3.4226109632205137</v>
      </c>
      <c r="O13" s="13">
        <f t="shared" si="0"/>
        <v>54.698</v>
      </c>
    </row>
    <row r="14" spans="2:17" x14ac:dyDescent="0.2">
      <c r="K14" s="1" t="s">
        <v>287</v>
      </c>
      <c r="M14" s="64">
        <f>100*G13/K21</f>
        <v>5.8708746658347319</v>
      </c>
      <c r="N14">
        <v>5.4327158146357357</v>
      </c>
      <c r="O14" s="13">
        <f t="shared" si="0"/>
        <v>33.6755</v>
      </c>
    </row>
    <row r="15" spans="2:17" x14ac:dyDescent="0.2">
      <c r="B15" s="1" t="s">
        <v>279</v>
      </c>
      <c r="C15" s="88">
        <f>SUM(C10:C13)</f>
        <v>223.9</v>
      </c>
      <c r="K15" s="1" t="s">
        <v>910</v>
      </c>
      <c r="M15" s="64">
        <f>100*G5/K21</f>
        <v>15.013747972192082</v>
      </c>
      <c r="N15">
        <v>18.824360297712825</v>
      </c>
      <c r="O15" s="13">
        <f t="shared" si="0"/>
        <v>86.119275000000016</v>
      </c>
    </row>
    <row r="16" spans="2:17" x14ac:dyDescent="0.2">
      <c r="C16" s="3"/>
      <c r="M16" s="64">
        <f>SUM(M11:M15)</f>
        <v>100</v>
      </c>
      <c r="N16">
        <v>100</v>
      </c>
      <c r="O16" s="13">
        <f t="shared" si="0"/>
        <v>573.60277500000007</v>
      </c>
    </row>
    <row r="17" spans="1:13" x14ac:dyDescent="0.2">
      <c r="C17" s="141" t="s">
        <v>418</v>
      </c>
      <c r="D17" s="64"/>
      <c r="E17" s="142" t="s">
        <v>419</v>
      </c>
      <c r="F17" s="64"/>
      <c r="G17" s="73" t="s">
        <v>420</v>
      </c>
    </row>
    <row r="18" spans="1:13" x14ac:dyDescent="0.2">
      <c r="B18" s="1" t="s">
        <v>386</v>
      </c>
      <c r="C18" s="91">
        <f>'Vivienda Objeto'!F42</f>
        <v>39.07</v>
      </c>
      <c r="D18" s="64" t="s">
        <v>261</v>
      </c>
      <c r="E18" s="91">
        <v>1.4</v>
      </c>
      <c r="F18" s="64" t="s">
        <v>262</v>
      </c>
      <c r="G18" s="90">
        <f>C18*E18</f>
        <v>54.698</v>
      </c>
    </row>
    <row r="19" spans="1:13" x14ac:dyDescent="0.2">
      <c r="B19" s="1" t="s">
        <v>387</v>
      </c>
      <c r="C19" s="91">
        <f>'Vivienda Objeto'!F43</f>
        <v>0</v>
      </c>
      <c r="D19" s="64" t="s">
        <v>261</v>
      </c>
      <c r="E19" s="91">
        <v>1.4</v>
      </c>
      <c r="F19" s="64" t="s">
        <v>262</v>
      </c>
      <c r="G19" s="90">
        <f>C19*E19</f>
        <v>0</v>
      </c>
    </row>
    <row r="21" spans="1:13" x14ac:dyDescent="0.2">
      <c r="B21" s="1" t="s">
        <v>421</v>
      </c>
      <c r="G21" s="90">
        <f>SUM(G10:G13)+G18+G19</f>
        <v>469.57149999999996</v>
      </c>
      <c r="H21" s="1" t="s">
        <v>283</v>
      </c>
      <c r="K21" s="78">
        <f>G5+G21+G22</f>
        <v>573.60277500000007</v>
      </c>
    </row>
    <row r="22" spans="1:13" ht="14.25" x14ac:dyDescent="0.25">
      <c r="B22" s="1" t="s">
        <v>496</v>
      </c>
      <c r="G22" s="90">
        <f>C15*0.08</f>
        <v>17.912000000000003</v>
      </c>
      <c r="H22" s="1" t="s">
        <v>283</v>
      </c>
    </row>
    <row r="23" spans="1:13" ht="14.25" x14ac:dyDescent="0.25">
      <c r="B23" s="1" t="s">
        <v>497</v>
      </c>
      <c r="G23" s="90">
        <f>G21+G22</f>
        <v>487.48349999999994</v>
      </c>
      <c r="H23" s="1" t="s">
        <v>283</v>
      </c>
    </row>
    <row r="25" spans="1:13" s="6" customFormat="1" x14ac:dyDescent="0.2">
      <c r="A25" s="1"/>
      <c r="B25" s="12" t="s">
        <v>297</v>
      </c>
      <c r="C25" s="12"/>
      <c r="D25" s="12"/>
      <c r="E25" s="12"/>
      <c r="F25" s="12"/>
      <c r="G25" s="91">
        <f>G23+G5</f>
        <v>573.60277499999995</v>
      </c>
      <c r="H25" s="12" t="s">
        <v>283</v>
      </c>
      <c r="I25" s="12"/>
      <c r="J25" s="12"/>
      <c r="K25" s="12"/>
      <c r="L25" s="12"/>
      <c r="M25" s="1"/>
    </row>
    <row r="27" spans="1:13" ht="14.25" x14ac:dyDescent="0.25">
      <c r="B27" s="1" t="s">
        <v>498</v>
      </c>
      <c r="G27" s="90">
        <f>'Vivienda Objeto'!H59</f>
        <v>386.78499999999997</v>
      </c>
      <c r="H27" s="1" t="s">
        <v>285</v>
      </c>
    </row>
    <row r="29" spans="1:13" ht="15.75" x14ac:dyDescent="0.25">
      <c r="B29" s="7" t="s">
        <v>298</v>
      </c>
    </row>
    <row r="30" spans="1:13" x14ac:dyDescent="0.2">
      <c r="B30" s="9"/>
      <c r="C30" s="9" t="s">
        <v>417</v>
      </c>
      <c r="D30" s="9"/>
      <c r="E30" s="9" t="s">
        <v>294</v>
      </c>
      <c r="F30" s="9"/>
      <c r="G30" s="9" t="s">
        <v>293</v>
      </c>
      <c r="H30" s="9"/>
      <c r="I30" s="9" t="s">
        <v>423</v>
      </c>
      <c r="J30" s="9"/>
      <c r="K30" s="9" t="s">
        <v>424</v>
      </c>
      <c r="L30" s="9"/>
      <c r="M30" s="9" t="s">
        <v>288</v>
      </c>
    </row>
    <row r="31" spans="1:13" x14ac:dyDescent="0.2">
      <c r="B31" s="1" t="s">
        <v>299</v>
      </c>
      <c r="C31" s="88">
        <f>'Vivienda Objeto'!D70</f>
        <v>0.68622401357658036</v>
      </c>
      <c r="D31" s="1" t="s">
        <v>261</v>
      </c>
      <c r="E31" s="91">
        <f>C10</f>
        <v>23.57</v>
      </c>
      <c r="F31" s="1" t="s">
        <v>261</v>
      </c>
      <c r="G31" s="90">
        <f>'R1'!Q$2</f>
        <v>61.881069382322437</v>
      </c>
      <c r="H31" s="9"/>
      <c r="I31" s="88">
        <v>0.87</v>
      </c>
      <c r="J31" s="1" t="s">
        <v>261</v>
      </c>
      <c r="K31" s="88">
        <f>'Vivienda Objeto'!L70</f>
        <v>0.85000000000000009</v>
      </c>
      <c r="L31" s="1" t="s">
        <v>262</v>
      </c>
      <c r="M31" s="90">
        <f>0.9*C31*E31*G31*I31*K31</f>
        <v>666.13766767876177</v>
      </c>
    </row>
    <row r="32" spans="1:13" ht="6.75" customHeight="1" x14ac:dyDescent="0.2">
      <c r="M32" s="78"/>
    </row>
    <row r="33" spans="2:14" ht="14.25" x14ac:dyDescent="0.25">
      <c r="B33" s="1" t="s">
        <v>499</v>
      </c>
      <c r="M33" s="90">
        <f>SUM(M31:M31)</f>
        <v>666.13766767876177</v>
      </c>
    </row>
    <row r="34" spans="2:14" ht="14.25" x14ac:dyDescent="0.25">
      <c r="B34" s="1" t="s">
        <v>500</v>
      </c>
      <c r="G34" s="90">
        <f>M33+G27</f>
        <v>1052.9226676787616</v>
      </c>
      <c r="H34" s="1" t="s">
        <v>285</v>
      </c>
    </row>
    <row r="36" spans="2:14" ht="16.5" x14ac:dyDescent="0.25">
      <c r="B36" s="86" t="s">
        <v>289</v>
      </c>
      <c r="C36" s="144"/>
      <c r="D36" s="144"/>
      <c r="E36" s="144"/>
      <c r="F36" s="144"/>
      <c r="G36" s="144"/>
      <c r="H36" s="144"/>
      <c r="I36" s="144"/>
      <c r="J36" s="144"/>
      <c r="K36" s="144"/>
      <c r="L36" s="144"/>
      <c r="M36" s="144"/>
      <c r="N36" s="149"/>
    </row>
    <row r="37" spans="2:14" ht="14.25" x14ac:dyDescent="0.2">
      <c r="B37" s="1" t="s">
        <v>487</v>
      </c>
      <c r="G37" s="90">
        <f>G34/G25</f>
        <v>1.835630358794484</v>
      </c>
    </row>
    <row r="38" spans="2:14" ht="14.25" x14ac:dyDescent="0.25">
      <c r="B38" s="1" t="s">
        <v>488</v>
      </c>
      <c r="G38" s="90">
        <v>19</v>
      </c>
      <c r="H38" s="1" t="s">
        <v>292</v>
      </c>
    </row>
    <row r="39" spans="2:14" ht="14.25" x14ac:dyDescent="0.25">
      <c r="B39" s="1" t="s">
        <v>489</v>
      </c>
      <c r="G39" s="90">
        <f>IF(I39&lt;5,5,I39)</f>
        <v>17.164369641205518</v>
      </c>
      <c r="H39" s="1" t="s">
        <v>292</v>
      </c>
      <c r="I39" s="90">
        <f>G38-G37</f>
        <v>17.164369641205518</v>
      </c>
      <c r="K39" s="1" t="s">
        <v>904</v>
      </c>
    </row>
    <row r="40" spans="2:14" x14ac:dyDescent="0.2">
      <c r="G40" s="78"/>
    </row>
    <row r="41" spans="2:14" ht="16.5" x14ac:dyDescent="0.25">
      <c r="B41" s="86" t="s">
        <v>290</v>
      </c>
      <c r="C41" s="144"/>
      <c r="D41" s="144"/>
      <c r="E41" s="144"/>
      <c r="F41" s="144"/>
      <c r="G41" s="146"/>
      <c r="H41" s="144"/>
      <c r="I41" s="144"/>
      <c r="J41" s="144"/>
      <c r="K41" s="144"/>
      <c r="L41" s="144"/>
      <c r="M41" s="144"/>
      <c r="N41" s="149"/>
    </row>
    <row r="42" spans="2:14" ht="14.25" x14ac:dyDescent="0.25">
      <c r="B42" s="1" t="s">
        <v>490</v>
      </c>
      <c r="G42" s="129">
        <f>IF(I42&lt;0,0,I42)</f>
        <v>1242.7202525981431</v>
      </c>
      <c r="I42" s="129">
        <f>'R1'!J17*G39+'R1'!K17*G39^2+'R1'!L17*G39^3+'R1'!M17*G39^4</f>
        <v>1242.7202525981431</v>
      </c>
    </row>
    <row r="44" spans="2:14" ht="15.75" x14ac:dyDescent="0.25">
      <c r="B44" s="86" t="s">
        <v>481</v>
      </c>
      <c r="C44" s="140"/>
      <c r="D44" s="140"/>
      <c r="E44" s="140"/>
      <c r="F44" s="140"/>
      <c r="G44" s="140"/>
      <c r="H44" s="140"/>
      <c r="I44" s="140"/>
      <c r="J44" s="140"/>
      <c r="K44" s="140"/>
      <c r="L44" s="140"/>
      <c r="M44" s="140"/>
      <c r="N44" s="149"/>
    </row>
    <row r="45" spans="2:14" x14ac:dyDescent="0.2">
      <c r="B45" s="1" t="s">
        <v>304</v>
      </c>
      <c r="G45" s="130">
        <f>0.024*G42*G25+0.0001</f>
        <v>17107.866950535899</v>
      </c>
      <c r="H45" s="1" t="s">
        <v>291</v>
      </c>
    </row>
    <row r="46" spans="2:14" ht="14.25" x14ac:dyDescent="0.2">
      <c r="G46" s="131">
        <f>G45/C4</f>
        <v>154.05553309802701</v>
      </c>
      <c r="H46" s="1" t="s">
        <v>309</v>
      </c>
    </row>
    <row r="47" spans="2:14" x14ac:dyDescent="0.2">
      <c r="G47" s="79"/>
    </row>
    <row r="48" spans="2:14" ht="15.75" x14ac:dyDescent="0.25">
      <c r="B48" s="86" t="s">
        <v>482</v>
      </c>
      <c r="C48" s="140"/>
      <c r="D48" s="140"/>
      <c r="E48" s="140"/>
      <c r="F48" s="140"/>
      <c r="G48" s="140"/>
      <c r="H48" s="140"/>
      <c r="I48" s="140"/>
      <c r="J48" s="140"/>
      <c r="K48" s="140"/>
      <c r="L48" s="140"/>
      <c r="M48" s="140"/>
      <c r="N48" s="149"/>
    </row>
    <row r="49" spans="1:14" ht="15.75" x14ac:dyDescent="0.25">
      <c r="B49" s="109"/>
      <c r="C49" s="94"/>
      <c r="D49" s="94"/>
      <c r="E49" s="94"/>
      <c r="F49" s="94"/>
      <c r="G49" s="94"/>
      <c r="H49" s="94"/>
      <c r="I49" s="94"/>
      <c r="J49" s="94"/>
      <c r="K49" s="94"/>
      <c r="L49" s="94"/>
      <c r="M49" s="94"/>
      <c r="N49" s="11"/>
    </row>
    <row r="50" spans="1:14" x14ac:dyDescent="0.2">
      <c r="B50" s="1" t="s">
        <v>483</v>
      </c>
      <c r="G50" s="130">
        <f>G52*'Vivienda Objeto'!D17</f>
        <v>17107.866950535899</v>
      </c>
      <c r="H50" s="1" t="s">
        <v>291</v>
      </c>
    </row>
    <row r="51" spans="1:14" x14ac:dyDescent="0.2">
      <c r="G51" s="130">
        <f>IF('Vivienda Objeto'!H90=0,Referencia!G46,'Vivienda Objeto'!H90)</f>
        <v>154.05553309802701</v>
      </c>
      <c r="K51" s="6" t="s">
        <v>958</v>
      </c>
    </row>
    <row r="52" spans="1:14" ht="15.75" customHeight="1" x14ac:dyDescent="0.2">
      <c r="G52" s="130">
        <f>IF(G55=1,0.000001,G51)</f>
        <v>154.05553309802701</v>
      </c>
      <c r="H52" s="1" t="s">
        <v>309</v>
      </c>
    </row>
    <row r="53" spans="1:14" ht="15.75" customHeight="1" x14ac:dyDescent="0.2">
      <c r="G53" s="208"/>
    </row>
    <row r="54" spans="1:14" ht="15.75" customHeight="1" x14ac:dyDescent="0.2">
      <c r="B54" s="1" t="s">
        <v>1202</v>
      </c>
      <c r="G54" s="711">
        <f>IF(G51&gt;'R1'!E148,0,1)</f>
        <v>0</v>
      </c>
      <c r="K54" s="1" t="s">
        <v>957</v>
      </c>
      <c r="N54" s="1"/>
    </row>
    <row r="55" spans="1:14" ht="15.75" customHeight="1" x14ac:dyDescent="0.2">
      <c r="B55" s="1" t="s">
        <v>953</v>
      </c>
      <c r="G55" s="711">
        <f>IF('R1'!J2=1, 1,0)*G54</f>
        <v>0</v>
      </c>
      <c r="N55" s="1"/>
    </row>
    <row r="56" spans="1:14" ht="15.75" customHeight="1" x14ac:dyDescent="0.2">
      <c r="G56" s="208"/>
    </row>
    <row r="57" spans="1:14" x14ac:dyDescent="0.2">
      <c r="G57" s="79"/>
    </row>
    <row r="58" spans="1:14" ht="16.5" x14ac:dyDescent="0.25">
      <c r="B58" s="86" t="s">
        <v>306</v>
      </c>
      <c r="C58" s="144"/>
      <c r="D58" s="144"/>
      <c r="E58" s="144"/>
      <c r="F58" s="144"/>
      <c r="G58" s="144"/>
      <c r="H58" s="140"/>
      <c r="I58" s="140"/>
      <c r="J58" s="140"/>
      <c r="K58" s="140"/>
      <c r="L58" s="140"/>
      <c r="M58" s="140"/>
      <c r="N58" s="149"/>
    </row>
    <row r="59" spans="1:14" x14ac:dyDescent="0.2">
      <c r="B59" s="1" t="s">
        <v>326</v>
      </c>
      <c r="G59" s="90">
        <f>'Vivienda Objeto'!H117</f>
        <v>2456.6254971284807</v>
      </c>
      <c r="H59" s="1" t="s">
        <v>291</v>
      </c>
    </row>
    <row r="60" spans="1:14" ht="14.25" x14ac:dyDescent="0.2">
      <c r="B60" s="1" t="s">
        <v>306</v>
      </c>
      <c r="G60" s="90">
        <f>G59/C4</f>
        <v>22.121796462210543</v>
      </c>
      <c r="H60" s="1" t="s">
        <v>308</v>
      </c>
    </row>
    <row r="62" spans="1:14" ht="16.5" x14ac:dyDescent="0.25">
      <c r="B62" s="86" t="s">
        <v>305</v>
      </c>
      <c r="C62" s="144"/>
      <c r="D62" s="144"/>
      <c r="E62" s="144"/>
      <c r="F62" s="144"/>
      <c r="G62" s="144"/>
      <c r="H62" s="140"/>
      <c r="I62" s="140"/>
      <c r="J62" s="140"/>
      <c r="K62" s="140"/>
      <c r="L62" s="140"/>
      <c r="M62" s="140"/>
      <c r="N62" s="149"/>
    </row>
    <row r="63" spans="1:14" s="6" customFormat="1" x14ac:dyDescent="0.2">
      <c r="A63" s="1"/>
      <c r="B63" s="12" t="s">
        <v>327</v>
      </c>
      <c r="C63" s="12"/>
      <c r="D63" s="12"/>
      <c r="E63" s="12"/>
      <c r="F63" s="12"/>
      <c r="G63" s="91">
        <f>C10/C4</f>
        <v>0.21224673570463756</v>
      </c>
      <c r="H63" s="12" t="s">
        <v>330</v>
      </c>
      <c r="I63" s="12"/>
      <c r="J63" s="12"/>
      <c r="K63" s="12"/>
      <c r="L63" s="12"/>
      <c r="M63" s="12"/>
      <c r="N63"/>
    </row>
    <row r="64" spans="1:14" s="6" customFormat="1" x14ac:dyDescent="0.2">
      <c r="A64" s="1"/>
      <c r="B64" s="12" t="s">
        <v>328</v>
      </c>
      <c r="C64" s="12"/>
      <c r="D64" s="12"/>
      <c r="E64" s="12"/>
      <c r="F64" s="12"/>
      <c r="G64" s="91">
        <f>C31/2</f>
        <v>0.34311200678829018</v>
      </c>
      <c r="H64" s="12" t="s">
        <v>330</v>
      </c>
      <c r="I64" s="12"/>
      <c r="J64" s="12"/>
      <c r="K64" s="12"/>
      <c r="L64" s="12"/>
      <c r="M64" s="12"/>
      <c r="N64"/>
    </row>
    <row r="65" spans="1:14" s="6" customFormat="1" x14ac:dyDescent="0.2">
      <c r="A65" s="1"/>
      <c r="B65" s="12" t="s">
        <v>329</v>
      </c>
      <c r="C65" s="12"/>
      <c r="D65" s="12"/>
      <c r="E65" s="12"/>
      <c r="F65" s="12"/>
      <c r="G65" s="130">
        <f>300/(G63*G64*0.4)</f>
        <v>10298.745540765287</v>
      </c>
      <c r="H65" s="12" t="s">
        <v>331</v>
      </c>
      <c r="I65" s="12"/>
      <c r="J65" s="12"/>
      <c r="K65" s="12"/>
      <c r="L65" s="12"/>
      <c r="M65" s="12"/>
      <c r="N65"/>
    </row>
    <row r="66" spans="1:14" s="6" customFormat="1" x14ac:dyDescent="0.2">
      <c r="A66" s="1"/>
      <c r="B66" s="12" t="s">
        <v>332</v>
      </c>
      <c r="C66" s="12"/>
      <c r="D66" s="12"/>
      <c r="E66" s="12"/>
      <c r="F66" s="12"/>
      <c r="G66" s="130">
        <f>K66</f>
        <v>2938.3280823506934</v>
      </c>
      <c r="H66" s="3" t="s">
        <v>341</v>
      </c>
      <c r="I66" s="130">
        <f>IF(G65&gt;9000,'R1'!J44+'R1'!K44*(G65/1000)+'R1'!L44*(G65/1000)^2+'R1'!M44*(G65/1000)^3+'R1'!N44*(G65/1000)^4,'R1'!J52+'R1'!K52*(G65/1000)+'R1'!L52*(G65/1000)^2+'R1'!M52*(G65/1000)^3+'R1'!N52*(G65/1000)^4)</f>
        <v>2938.3280823506934</v>
      </c>
      <c r="J66" s="12"/>
      <c r="K66" s="713">
        <f>IF(I66&lt;0,0,I66)</f>
        <v>2938.3280823506934</v>
      </c>
      <c r="L66" s="12"/>
      <c r="M66" s="12"/>
      <c r="N66"/>
    </row>
    <row r="67" spans="1:14" s="19" customFormat="1" x14ac:dyDescent="0.2">
      <c r="A67" s="3"/>
      <c r="B67" s="3"/>
      <c r="C67" s="3"/>
      <c r="D67" s="3"/>
      <c r="E67" s="3"/>
      <c r="F67" s="3"/>
      <c r="H67" s="3"/>
      <c r="I67" s="3"/>
      <c r="J67" s="3"/>
      <c r="K67" s="3"/>
      <c r="L67" s="3"/>
      <c r="M67" s="3"/>
      <c r="N67" s="5"/>
    </row>
    <row r="68" spans="1:14" s="6" customFormat="1" x14ac:dyDescent="0.2">
      <c r="A68" s="1"/>
      <c r="B68" s="1" t="s">
        <v>310</v>
      </c>
      <c r="C68" s="12"/>
      <c r="D68" s="12"/>
      <c r="E68" s="12"/>
      <c r="F68" s="12"/>
      <c r="G68" s="130">
        <f>G69*C4</f>
        <v>628.18523869455078</v>
      </c>
      <c r="H68" s="1" t="s">
        <v>291</v>
      </c>
      <c r="I68" s="12"/>
      <c r="J68" s="12"/>
      <c r="K68" s="12"/>
      <c r="L68" s="12"/>
      <c r="M68" s="12"/>
      <c r="N68"/>
    </row>
    <row r="69" spans="1:14" ht="14.25" x14ac:dyDescent="0.2">
      <c r="G69" s="91">
        <f>(5475-G66)*2.23/1000</f>
        <v>5.6567783763579538</v>
      </c>
      <c r="H69" s="1" t="s">
        <v>309</v>
      </c>
    </row>
    <row r="71" spans="1:14" ht="18" x14ac:dyDescent="0.25">
      <c r="B71" s="86" t="s">
        <v>503</v>
      </c>
      <c r="C71" s="147"/>
      <c r="D71" s="147"/>
      <c r="E71" s="147"/>
      <c r="F71" s="147"/>
      <c r="G71" s="147"/>
      <c r="H71" s="147"/>
      <c r="I71" s="147"/>
      <c r="J71" s="147"/>
      <c r="K71" s="147"/>
      <c r="L71" s="147"/>
      <c r="M71" s="147"/>
      <c r="N71" s="149"/>
    </row>
    <row r="72" spans="1:14" x14ac:dyDescent="0.2">
      <c r="B72" s="1" t="s">
        <v>307</v>
      </c>
      <c r="G72" s="90">
        <f>G45+G59+G68</f>
        <v>20192.677686358929</v>
      </c>
      <c r="H72" s="1" t="s">
        <v>291</v>
      </c>
    </row>
    <row r="73" spans="1:14" ht="14.25" x14ac:dyDescent="0.2">
      <c r="G73" s="90">
        <f>G72/C4</f>
        <v>181.8341079365955</v>
      </c>
      <c r="H73" s="1" t="s">
        <v>309</v>
      </c>
    </row>
    <row r="74" spans="1:14" x14ac:dyDescent="0.2">
      <c r="G74" s="67"/>
    </row>
    <row r="75" spans="1:14" ht="18" x14ac:dyDescent="0.25">
      <c r="B75" s="86" t="s">
        <v>471</v>
      </c>
      <c r="C75" s="147"/>
      <c r="D75" s="147"/>
      <c r="E75" s="147"/>
      <c r="F75" s="147"/>
      <c r="G75" s="147"/>
      <c r="H75" s="147"/>
      <c r="I75" s="147"/>
      <c r="J75" s="147"/>
      <c r="K75" s="147"/>
      <c r="L75" s="147"/>
      <c r="M75" s="147"/>
      <c r="N75" s="149"/>
    </row>
    <row r="76" spans="1:14" x14ac:dyDescent="0.2">
      <c r="B76" s="1" t="s">
        <v>470</v>
      </c>
      <c r="G76" s="90">
        <f>G45+G68</f>
        <v>17736.05218923045</v>
      </c>
      <c r="H76" s="1" t="s">
        <v>291</v>
      </c>
    </row>
    <row r="77" spans="1:14" ht="14.25" x14ac:dyDescent="0.2">
      <c r="G77" s="90">
        <f>G76/C4</f>
        <v>159.71231147438496</v>
      </c>
      <c r="H77" s="1" t="s">
        <v>309</v>
      </c>
    </row>
    <row r="79" spans="1:14" ht="18" x14ac:dyDescent="0.25">
      <c r="B79" s="86" t="s">
        <v>311</v>
      </c>
      <c r="C79" s="147"/>
      <c r="D79" s="147"/>
      <c r="E79" s="147"/>
      <c r="F79" s="147"/>
      <c r="G79" s="147"/>
      <c r="H79" s="147"/>
      <c r="I79" s="147"/>
      <c r="J79" s="147"/>
      <c r="K79" s="147"/>
      <c r="L79" s="147"/>
      <c r="M79" s="147"/>
      <c r="N79" s="149"/>
    </row>
    <row r="80" spans="1:14" x14ac:dyDescent="0.2">
      <c r="M80" s="3"/>
      <c r="N80" s="1"/>
    </row>
    <row r="81" spans="1:14" ht="15.75" x14ac:dyDescent="0.25">
      <c r="B81" s="86" t="s">
        <v>343</v>
      </c>
      <c r="C81" s="43"/>
      <c r="D81" s="43"/>
      <c r="E81" s="43"/>
      <c r="F81" s="43"/>
      <c r="G81" s="43"/>
      <c r="H81" s="43"/>
      <c r="I81" s="43"/>
      <c r="J81" s="43"/>
      <c r="K81" s="43"/>
      <c r="L81" s="43"/>
      <c r="M81" s="46"/>
      <c r="N81" s="43"/>
    </row>
    <row r="82" spans="1:14" s="10" customFormat="1" ht="15.75" customHeight="1" x14ac:dyDescent="0.2">
      <c r="A82" s="12"/>
      <c r="B82" s="12" t="s">
        <v>389</v>
      </c>
      <c r="C82" s="12"/>
      <c r="D82" s="12"/>
      <c r="E82" s="12"/>
      <c r="F82" s="12"/>
      <c r="G82" s="12"/>
      <c r="H82" s="12"/>
      <c r="I82" s="12"/>
      <c r="J82" s="12"/>
      <c r="K82" s="12"/>
      <c r="L82" s="12"/>
      <c r="M82" s="88">
        <f>'R2'!B4</f>
        <v>0.65</v>
      </c>
    </row>
    <row r="83" spans="1:14" x14ac:dyDescent="0.2">
      <c r="M83" s="68"/>
      <c r="N83" s="1"/>
    </row>
    <row r="84" spans="1:14" ht="18" x14ac:dyDescent="0.25">
      <c r="B84" s="86" t="s">
        <v>366</v>
      </c>
      <c r="C84" s="147"/>
      <c r="D84" s="147"/>
      <c r="E84" s="147"/>
      <c r="F84" s="147"/>
      <c r="G84" s="147"/>
      <c r="H84" s="147"/>
      <c r="I84" s="147"/>
      <c r="J84" s="147"/>
      <c r="K84" s="147"/>
      <c r="L84" s="147"/>
      <c r="M84" s="148"/>
      <c r="N84" s="147"/>
    </row>
    <row r="85" spans="1:14" x14ac:dyDescent="0.2">
      <c r="B85" s="1" t="s">
        <v>349</v>
      </c>
      <c r="M85" s="91">
        <f>'R2'!B60</f>
        <v>0.7</v>
      </c>
      <c r="N85" s="1" t="s">
        <v>330</v>
      </c>
    </row>
    <row r="87" spans="1:14" ht="15.75" x14ac:dyDescent="0.25">
      <c r="B87" s="86" t="s">
        <v>369</v>
      </c>
      <c r="C87" s="86"/>
      <c r="D87" s="86"/>
      <c r="E87" s="86"/>
      <c r="F87" s="86"/>
      <c r="G87" s="86"/>
      <c r="H87" s="86"/>
      <c r="I87" s="86"/>
      <c r="J87" s="86"/>
      <c r="K87" s="86"/>
      <c r="L87" s="86"/>
      <c r="M87" s="86"/>
      <c r="N87" s="86"/>
    </row>
    <row r="88" spans="1:14" x14ac:dyDescent="0.2">
      <c r="K88" s="143" t="s">
        <v>374</v>
      </c>
      <c r="M88" s="143" t="s">
        <v>375</v>
      </c>
    </row>
    <row r="89" spans="1:14" x14ac:dyDescent="0.2">
      <c r="B89" s="1" t="s">
        <v>370</v>
      </c>
      <c r="K89" s="135">
        <f>G52/M82</f>
        <v>237.00851245850308</v>
      </c>
      <c r="L89" s="82"/>
      <c r="M89" s="135">
        <f>K89*C4</f>
        <v>26319.795308516765</v>
      </c>
    </row>
    <row r="90" spans="1:14" x14ac:dyDescent="0.2">
      <c r="B90" s="1" t="s">
        <v>371</v>
      </c>
      <c r="K90" s="135">
        <f>M90/C4</f>
        <v>31.602566374586491</v>
      </c>
      <c r="L90" s="82"/>
      <c r="M90" s="135">
        <f>G59/M85</f>
        <v>3509.4649958978298</v>
      </c>
    </row>
    <row r="91" spans="1:14" x14ac:dyDescent="0.2">
      <c r="B91" s="1" t="s">
        <v>372</v>
      </c>
      <c r="K91" s="135">
        <f>M91/C4</f>
        <v>5.6567783763579538</v>
      </c>
      <c r="L91" s="82"/>
      <c r="M91" s="135">
        <f>G68</f>
        <v>628.18523869455078</v>
      </c>
    </row>
    <row r="92" spans="1:14" x14ac:dyDescent="0.2">
      <c r="K92" s="83"/>
      <c r="L92" s="83"/>
      <c r="M92" s="83"/>
    </row>
    <row r="93" spans="1:14" x14ac:dyDescent="0.2">
      <c r="B93" s="1" t="s">
        <v>373</v>
      </c>
      <c r="K93" s="135">
        <f>K89+K90+K91</f>
        <v>274.26785720944753</v>
      </c>
      <c r="L93" s="83"/>
      <c r="M93" s="135">
        <f>M89+M90+M91</f>
        <v>30457.445543109145</v>
      </c>
    </row>
    <row r="95" spans="1:14" ht="15.75" x14ac:dyDescent="0.25">
      <c r="B95" s="86" t="s">
        <v>378</v>
      </c>
      <c r="C95" s="86"/>
      <c r="D95" s="86"/>
      <c r="E95" s="86"/>
      <c r="F95" s="86"/>
      <c r="G95" s="86"/>
      <c r="H95" s="86"/>
      <c r="I95" s="86"/>
      <c r="J95" s="86"/>
      <c r="K95" s="86"/>
      <c r="L95" s="86"/>
      <c r="M95" s="86"/>
      <c r="N95" s="86"/>
    </row>
    <row r="96" spans="1:14" x14ac:dyDescent="0.2">
      <c r="K96" s="143" t="s">
        <v>374</v>
      </c>
      <c r="M96" s="143" t="s">
        <v>375</v>
      </c>
    </row>
    <row r="97" spans="1:14" x14ac:dyDescent="0.2">
      <c r="B97" s="1" t="s">
        <v>370</v>
      </c>
      <c r="K97" s="135">
        <f>M97/C4</f>
        <v>260.70936370435339</v>
      </c>
      <c r="L97" s="82"/>
      <c r="M97" s="135">
        <f>M89*'R2'!B51</f>
        <v>28951.774839368445</v>
      </c>
    </row>
    <row r="98" spans="1:14" x14ac:dyDescent="0.2">
      <c r="B98" s="1" t="s">
        <v>371</v>
      </c>
      <c r="K98" s="135">
        <f>M98/C4</f>
        <v>34.762823012045146</v>
      </c>
      <c r="L98" s="82"/>
      <c r="M98" s="135">
        <f>M90*'R2'!B51</f>
        <v>3860.4114954876131</v>
      </c>
    </row>
    <row r="99" spans="1:14" x14ac:dyDescent="0.2">
      <c r="B99" s="1" t="s">
        <v>372</v>
      </c>
      <c r="K99" s="135">
        <f>M99/C4</f>
        <v>11.313556752715908</v>
      </c>
      <c r="L99" s="82"/>
      <c r="M99" s="135">
        <f>M91*'R2'!B35</f>
        <v>1256.3704773891016</v>
      </c>
    </row>
    <row r="100" spans="1:14" x14ac:dyDescent="0.2">
      <c r="K100" s="83"/>
      <c r="L100" s="83"/>
      <c r="M100" s="83"/>
    </row>
    <row r="101" spans="1:14" x14ac:dyDescent="0.2">
      <c r="B101" s="1" t="s">
        <v>373</v>
      </c>
      <c r="K101" s="135">
        <f>K97+K98+K99</f>
        <v>306.78574346911444</v>
      </c>
      <c r="L101" s="83"/>
      <c r="M101" s="135">
        <f>M97+M98+M99</f>
        <v>34068.556812245159</v>
      </c>
    </row>
    <row r="103" spans="1:14" ht="15.75" x14ac:dyDescent="0.25">
      <c r="B103" s="86" t="s">
        <v>379</v>
      </c>
      <c r="C103" s="86"/>
      <c r="D103" s="86"/>
      <c r="E103" s="86"/>
      <c r="F103" s="86"/>
      <c r="G103" s="86"/>
      <c r="H103" s="86"/>
      <c r="I103" s="86"/>
      <c r="J103" s="86"/>
      <c r="K103" s="86"/>
      <c r="L103" s="86"/>
      <c r="M103" s="86"/>
      <c r="N103" s="86"/>
    </row>
    <row r="105" spans="1:14" x14ac:dyDescent="0.2">
      <c r="I105" s="1" t="s">
        <v>416</v>
      </c>
      <c r="M105" s="9" t="s">
        <v>435</v>
      </c>
    </row>
    <row r="106" spans="1:14" x14ac:dyDescent="0.2">
      <c r="B106" s="1" t="s">
        <v>430</v>
      </c>
      <c r="I106" s="150">
        <f>'R2'!E39</f>
        <v>0.26</v>
      </c>
      <c r="K106" s="1" t="s">
        <v>436</v>
      </c>
      <c r="M106" s="130">
        <f>M97*I106</f>
        <v>7527.4614582357963</v>
      </c>
      <c r="N106" t="s">
        <v>437</v>
      </c>
    </row>
    <row r="107" spans="1:14" x14ac:dyDescent="0.2">
      <c r="A107" s="1" t="s">
        <v>431</v>
      </c>
      <c r="B107" s="1" t="s">
        <v>432</v>
      </c>
      <c r="I107" s="150">
        <f>'R2'!E51</f>
        <v>0.22800000000000001</v>
      </c>
      <c r="M107" s="130">
        <f>I107*M98</f>
        <v>880.17382097117581</v>
      </c>
      <c r="N107" t="s">
        <v>437</v>
      </c>
    </row>
    <row r="108" spans="1:14" x14ac:dyDescent="0.2">
      <c r="B108" s="1" t="s">
        <v>433</v>
      </c>
      <c r="I108" s="150">
        <f>'R2'!E48</f>
        <v>0.307</v>
      </c>
      <c r="M108" s="130">
        <f>I108*M99</f>
        <v>385.70573655845419</v>
      </c>
      <c r="N108" t="s">
        <v>437</v>
      </c>
    </row>
    <row r="110" spans="1:14" x14ac:dyDescent="0.2">
      <c r="B110" s="1" t="s">
        <v>434</v>
      </c>
      <c r="M110" s="130">
        <f>M106+M107+M108</f>
        <v>8793.3410157654253</v>
      </c>
      <c r="N110" t="s">
        <v>437</v>
      </c>
    </row>
  </sheetData>
  <customSheetViews>
    <customSheetView guid="{2239797F-3020-4364-93B0-F22DAADF645D}" scale="120" showGridLines="0" fitToPage="1" state="hidden" showRuler="0">
      <selection activeCell="A105" sqref="A105"/>
      <pageMargins left="0.7" right="0.7" top="0.75" bottom="0.75" header="0.3" footer="0.3"/>
      <pageSetup scale="80" fitToHeight="2" orientation="portrait" horizontalDpi="300" verticalDpi="300"/>
      <headerFooter alignWithMargins="0"/>
    </customSheetView>
  </customSheetViews>
  <phoneticPr fontId="7" type="noConversion"/>
  <pageMargins left="0.34" right="0.21" top="0.43" bottom="0.56000000000000005" header="0" footer="0"/>
  <headerFooter alignWithMargins="0"/>
  <drawing r:id="rId1"/>
  <legacy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dimension ref="A1:T158"/>
  <sheetViews>
    <sheetView topLeftCell="A97" workbookViewId="0">
      <selection activeCell="K2" sqref="K2"/>
    </sheetView>
  </sheetViews>
  <sheetFormatPr baseColWidth="10" defaultRowHeight="12.75" x14ac:dyDescent="0.2"/>
  <cols>
    <col min="1" max="1" width="17" customWidth="1"/>
    <col min="2" max="4" width="10.42578125" customWidth="1"/>
    <col min="5" max="5" width="11.42578125" customWidth="1"/>
    <col min="6" max="6" width="10.42578125" customWidth="1"/>
    <col min="7" max="7" width="9" customWidth="1"/>
    <col min="8" max="8" width="8.85546875" customWidth="1"/>
    <col min="10" max="10" width="14" customWidth="1"/>
    <col min="11" max="15" width="7.85546875" customWidth="1"/>
    <col min="17" max="17" width="10.85546875" style="8"/>
  </cols>
  <sheetData>
    <row r="1" spans="1:18" ht="13.5" thickBot="1" x14ac:dyDescent="0.25">
      <c r="A1" s="37" t="s">
        <v>321</v>
      </c>
      <c r="B1" s="114" t="s">
        <v>299</v>
      </c>
      <c r="C1" s="112" t="s">
        <v>300</v>
      </c>
      <c r="D1" s="112" t="s">
        <v>301</v>
      </c>
      <c r="E1" s="112" t="s">
        <v>302</v>
      </c>
      <c r="F1" s="112" t="s">
        <v>303</v>
      </c>
      <c r="G1" s="112" t="s">
        <v>287</v>
      </c>
      <c r="H1" s="721" t="s">
        <v>388</v>
      </c>
      <c r="I1" s="722" t="s">
        <v>977</v>
      </c>
      <c r="J1" s="728" t="s">
        <v>979</v>
      </c>
      <c r="K1" s="8" t="s">
        <v>299</v>
      </c>
      <c r="L1" s="8" t="s">
        <v>300</v>
      </c>
      <c r="M1" s="8" t="s">
        <v>301</v>
      </c>
      <c r="N1" s="8" t="s">
        <v>302</v>
      </c>
      <c r="O1" s="8" t="s">
        <v>303</v>
      </c>
      <c r="P1" s="8" t="s">
        <v>287</v>
      </c>
      <c r="Q1" s="8" t="s">
        <v>388</v>
      </c>
      <c r="R1" s="730" t="s">
        <v>978</v>
      </c>
    </row>
    <row r="2" spans="1:18" ht="13.5" thickBot="1" x14ac:dyDescent="0.25">
      <c r="A2" s="716" t="s">
        <v>963</v>
      </c>
      <c r="B2" s="717">
        <v>145.2322879324384</v>
      </c>
      <c r="C2" s="718">
        <v>125.25911284740073</v>
      </c>
      <c r="D2" s="718">
        <v>86.720444558111012</v>
      </c>
      <c r="E2" s="718">
        <v>47.23892631513359</v>
      </c>
      <c r="F2" s="718">
        <v>40.336262905873078</v>
      </c>
      <c r="G2" s="718">
        <v>143.07121910888915</v>
      </c>
      <c r="H2" s="750">
        <f t="shared" ref="H2:H14" si="0">(B2+2*C2+2*D2+2*E2+F2)/8</f>
        <v>88.000689784950268</v>
      </c>
      <c r="I2" s="727">
        <v>1</v>
      </c>
      <c r="J2" s="729">
        <f>CHOOSE($R2,I2,I3,I4,I5,I6,I7,I8,I9,I10,I11,I12,I13,I14,I15)</f>
        <v>3</v>
      </c>
      <c r="K2" s="397">
        <f t="shared" ref="K2:Q2" si="1">CHOOSE($R2,B2,B3,B4,B5,B6,B7,B8,B9,B10,B11,B12,B13,B14,B15)</f>
        <v>91.120877881564851</v>
      </c>
      <c r="L2" s="398">
        <f t="shared" si="1"/>
        <v>80.601524024590972</v>
      </c>
      <c r="M2" s="398">
        <f t="shared" si="1"/>
        <v>60.981344207490658</v>
      </c>
      <c r="N2" s="398">
        <f t="shared" si="1"/>
        <v>42.010515487850533</v>
      </c>
      <c r="O2" s="398">
        <f t="shared" si="1"/>
        <v>36.740909737150353</v>
      </c>
      <c r="P2" s="398">
        <f t="shared" si="1"/>
        <v>106.35875673371312</v>
      </c>
      <c r="Q2" s="398">
        <f t="shared" si="1"/>
        <v>61.881069382322437</v>
      </c>
      <c r="R2" s="731">
        <v>5</v>
      </c>
    </row>
    <row r="3" spans="1:18" ht="13.5" thickBot="1" x14ac:dyDescent="0.25">
      <c r="A3" s="102" t="s">
        <v>964</v>
      </c>
      <c r="B3" s="1021">
        <f>(B2+B4)/2</f>
        <v>121.16526668768627</v>
      </c>
      <c r="C3" s="1021">
        <f t="shared" ref="C3:H3" si="2">(C2+C4)/2</f>
        <v>104.59280128288664</v>
      </c>
      <c r="D3" s="1021">
        <f t="shared" si="2"/>
        <v>73.267270969453705</v>
      </c>
      <c r="E3" s="1021">
        <f t="shared" si="2"/>
        <v>42.984822664006053</v>
      </c>
      <c r="F3" s="1021">
        <f t="shared" si="2"/>
        <v>37.551645667344019</v>
      </c>
      <c r="G3" s="1021">
        <f t="shared" si="2"/>
        <v>120.18789804803059</v>
      </c>
      <c r="H3" s="1021">
        <f t="shared" si="2"/>
        <v>75.050837773465389</v>
      </c>
      <c r="I3" s="723">
        <v>1</v>
      </c>
      <c r="J3" s="729" t="str">
        <f>CHOOSE($R2,A2,A3,A4,A5,A6,A7,A8,A9,A10,A11,A12,A13,A14,A15)</f>
        <v>Zona 3 - A</v>
      </c>
      <c r="K3" s="17"/>
      <c r="L3" s="17"/>
      <c r="M3" s="17"/>
      <c r="N3" s="17"/>
      <c r="O3" s="17"/>
      <c r="P3" s="17"/>
      <c r="Q3" s="40"/>
    </row>
    <row r="4" spans="1:18" x14ac:dyDescent="0.2">
      <c r="A4" s="103" t="s">
        <v>965</v>
      </c>
      <c r="B4" s="303">
        <v>97.098245442934143</v>
      </c>
      <c r="C4" s="110">
        <v>83.926489718372551</v>
      </c>
      <c r="D4" s="110">
        <v>59.814097380796397</v>
      </c>
      <c r="E4" s="110">
        <v>38.730719012878517</v>
      </c>
      <c r="F4" s="110">
        <v>34.767028428814967</v>
      </c>
      <c r="G4" s="110">
        <v>97.304576987172027</v>
      </c>
      <c r="H4" s="751">
        <f t="shared" si="0"/>
        <v>62.100985761980503</v>
      </c>
      <c r="I4" s="724">
        <v>2</v>
      </c>
      <c r="Q4" s="40"/>
    </row>
    <row r="5" spans="1:18" x14ac:dyDescent="0.2">
      <c r="A5" s="103" t="s">
        <v>966</v>
      </c>
      <c r="B5" s="303">
        <v>156.35563225052428</v>
      </c>
      <c r="C5" s="110">
        <v>135.14538087297831</v>
      </c>
      <c r="D5" s="110">
        <v>96.317610795195023</v>
      </c>
      <c r="E5" s="110">
        <v>62.367409742074813</v>
      </c>
      <c r="F5" s="110">
        <v>55.984747063778137</v>
      </c>
      <c r="G5" s="110">
        <v>156.68788438242817</v>
      </c>
      <c r="H5" s="751">
        <f t="shared" si="0"/>
        <v>100.00014776684985</v>
      </c>
      <c r="I5" s="726">
        <v>2</v>
      </c>
      <c r="Q5" s="40"/>
    </row>
    <row r="6" spans="1:18" x14ac:dyDescent="0.2">
      <c r="A6" s="103" t="s">
        <v>967</v>
      </c>
      <c r="B6" s="719">
        <v>91.120877881564851</v>
      </c>
      <c r="C6" s="111">
        <v>80.601524024590972</v>
      </c>
      <c r="D6" s="111">
        <v>60.981344207490658</v>
      </c>
      <c r="E6" s="111">
        <v>42.010515487850533</v>
      </c>
      <c r="F6" s="111">
        <v>36.740909737150353</v>
      </c>
      <c r="G6" s="111">
        <v>106.35875673371312</v>
      </c>
      <c r="H6" s="751">
        <f t="shared" si="0"/>
        <v>61.881069382322437</v>
      </c>
      <c r="I6" s="724">
        <v>3</v>
      </c>
      <c r="Q6" s="40"/>
    </row>
    <row r="7" spans="1:18" x14ac:dyDescent="0.2">
      <c r="A7" s="103" t="s">
        <v>972</v>
      </c>
      <c r="B7" s="748">
        <v>91.120877881564851</v>
      </c>
      <c r="C7" s="749">
        <v>80.601524024590972</v>
      </c>
      <c r="D7" s="749">
        <v>60.981344207490658</v>
      </c>
      <c r="E7" s="749">
        <v>42.010515487850533</v>
      </c>
      <c r="F7" s="749">
        <v>36.740909737150353</v>
      </c>
      <c r="G7" s="749">
        <v>106.35875673371312</v>
      </c>
      <c r="H7" s="752">
        <f t="shared" si="0"/>
        <v>61.881069382322437</v>
      </c>
      <c r="I7" s="724">
        <v>3</v>
      </c>
      <c r="Q7" s="40"/>
    </row>
    <row r="8" spans="1:18" x14ac:dyDescent="0.2">
      <c r="A8" s="103" t="s">
        <v>968</v>
      </c>
      <c r="B8" s="303">
        <v>110.06648414794161</v>
      </c>
      <c r="C8" s="110">
        <v>95.477780055626567</v>
      </c>
      <c r="D8" s="110">
        <v>68.659609644709306</v>
      </c>
      <c r="E8" s="110">
        <v>43.517353752191504</v>
      </c>
      <c r="F8" s="110">
        <v>37.274738958369177</v>
      </c>
      <c r="G8" s="110">
        <v>116.32091506524714</v>
      </c>
      <c r="H8" s="751">
        <f t="shared" si="0"/>
        <v>70.331338751420702</v>
      </c>
      <c r="I8" s="724">
        <v>4</v>
      </c>
      <c r="Q8" s="40"/>
    </row>
    <row r="9" spans="1:18" x14ac:dyDescent="0.2">
      <c r="A9" s="103" t="s">
        <v>973</v>
      </c>
      <c r="B9" s="303">
        <v>117.1158659565434</v>
      </c>
      <c r="C9" s="110">
        <v>101.59280527025184</v>
      </c>
      <c r="D9" s="110">
        <v>73.057022780615</v>
      </c>
      <c r="E9" s="110">
        <v>46.30449140153128</v>
      </c>
      <c r="F9" s="110">
        <v>39.662058484087147</v>
      </c>
      <c r="G9" s="110">
        <v>123.77087177976078</v>
      </c>
      <c r="H9" s="751">
        <f t="shared" si="0"/>
        <v>74.835820418178358</v>
      </c>
      <c r="I9" s="724">
        <v>4</v>
      </c>
      <c r="Q9" s="40"/>
    </row>
    <row r="10" spans="1:18" x14ac:dyDescent="0.2">
      <c r="A10" s="103" t="s">
        <v>969</v>
      </c>
      <c r="B10" s="303">
        <v>88.34665501784265</v>
      </c>
      <c r="C10" s="110">
        <v>79.898198342007461</v>
      </c>
      <c r="D10" s="110">
        <v>62.498013328308986</v>
      </c>
      <c r="E10" s="110">
        <v>44.10436172994666</v>
      </c>
      <c r="F10" s="110">
        <v>37.484124230528863</v>
      </c>
      <c r="G10" s="110">
        <v>107.30492187499999</v>
      </c>
      <c r="H10" s="751">
        <f t="shared" si="0"/>
        <v>62.353990756112225</v>
      </c>
      <c r="I10" s="724">
        <v>5</v>
      </c>
      <c r="Q10" s="40"/>
    </row>
    <row r="11" spans="1:18" x14ac:dyDescent="0.2">
      <c r="A11" s="103" t="s">
        <v>974</v>
      </c>
      <c r="B11" s="303">
        <v>67.661053481947576</v>
      </c>
      <c r="C11" s="110">
        <v>61.190729519278541</v>
      </c>
      <c r="D11" s="110">
        <v>47.864646618122151</v>
      </c>
      <c r="E11" s="110">
        <v>33.777708699830221</v>
      </c>
      <c r="F11" s="110">
        <v>28.707542280729946</v>
      </c>
      <c r="G11" s="110">
        <v>82.180406902720478</v>
      </c>
      <c r="H11" s="751">
        <f t="shared" si="0"/>
        <v>47.754345679642419</v>
      </c>
      <c r="I11" s="724">
        <v>5</v>
      </c>
      <c r="Q11" s="40"/>
    </row>
    <row r="12" spans="1:18" x14ac:dyDescent="0.2">
      <c r="A12" s="103" t="s">
        <v>970</v>
      </c>
      <c r="B12" s="303">
        <v>81.51687843506582</v>
      </c>
      <c r="C12" s="110">
        <v>74.353463308911444</v>
      </c>
      <c r="D12" s="110">
        <v>56.625379029666476</v>
      </c>
      <c r="E12" s="110">
        <v>38.319870607823503</v>
      </c>
      <c r="F12" s="110">
        <v>31.979872010241834</v>
      </c>
      <c r="G12" s="110">
        <v>92.539263888888897</v>
      </c>
      <c r="H12" s="751">
        <f t="shared" si="0"/>
        <v>56.511772042263807</v>
      </c>
      <c r="I12" s="724">
        <v>6</v>
      </c>
      <c r="Q12" s="40"/>
    </row>
    <row r="13" spans="1:18" x14ac:dyDescent="0.2">
      <c r="A13" s="103" t="s">
        <v>975</v>
      </c>
      <c r="B13" s="720">
        <v>99.597953623101944</v>
      </c>
      <c r="C13" s="715">
        <v>90.845637523484925</v>
      </c>
      <c r="D13" s="715">
        <v>69.185326802961228</v>
      </c>
      <c r="E13" s="715">
        <v>46.819514791423956</v>
      </c>
      <c r="F13" s="715">
        <v>39.073255385827757</v>
      </c>
      <c r="G13" s="715">
        <v>113.06518956639569</v>
      </c>
      <c r="H13" s="751">
        <f t="shared" si="0"/>
        <v>69.046520905583748</v>
      </c>
      <c r="I13" s="724">
        <v>6</v>
      </c>
      <c r="Q13" s="40"/>
    </row>
    <row r="14" spans="1:18" x14ac:dyDescent="0.2">
      <c r="A14" s="103" t="s">
        <v>971</v>
      </c>
      <c r="B14" s="303">
        <v>102.88521108817783</v>
      </c>
      <c r="C14" s="110">
        <v>95.94243612758919</v>
      </c>
      <c r="D14" s="110">
        <v>74.577612038116257</v>
      </c>
      <c r="E14" s="110">
        <v>51.411903275858343</v>
      </c>
      <c r="F14" s="110">
        <v>40.466287270886177</v>
      </c>
      <c r="G14" s="110">
        <v>115.51063183867508</v>
      </c>
      <c r="H14" s="751">
        <f t="shared" si="0"/>
        <v>73.401925155273943</v>
      </c>
      <c r="I14" s="724">
        <v>7</v>
      </c>
      <c r="Q14" s="40"/>
    </row>
    <row r="15" spans="1:18" ht="13.5" thickBot="1" x14ac:dyDescent="0.25">
      <c r="A15" s="103" t="s">
        <v>976</v>
      </c>
      <c r="B15" s="1022">
        <f>(B14+B13)/2</f>
        <v>101.24158235563988</v>
      </c>
      <c r="C15" s="1023">
        <f t="shared" ref="C15:H15" si="3">(C14+C13)/2</f>
        <v>93.394036825537057</v>
      </c>
      <c r="D15" s="1023">
        <f t="shared" si="3"/>
        <v>71.881469420538735</v>
      </c>
      <c r="E15" s="1023">
        <f t="shared" si="3"/>
        <v>49.115709033641153</v>
      </c>
      <c r="F15" s="1023">
        <f t="shared" si="3"/>
        <v>39.769771328356967</v>
      </c>
      <c r="G15" s="1023">
        <f t="shared" si="3"/>
        <v>114.28791070253538</v>
      </c>
      <c r="H15" s="1024">
        <f t="shared" si="3"/>
        <v>71.224223030428846</v>
      </c>
      <c r="I15" s="725">
        <v>7</v>
      </c>
      <c r="Q15" s="40"/>
    </row>
    <row r="16" spans="1:18" ht="13.5" thickBot="1" x14ac:dyDescent="0.25">
      <c r="A16" s="14"/>
      <c r="B16" s="14"/>
      <c r="C16" s="14"/>
      <c r="D16" s="14"/>
      <c r="E16" s="15"/>
      <c r="F16" s="15"/>
      <c r="G16" s="14"/>
      <c r="H16" s="14"/>
    </row>
    <row r="17" spans="1:20" ht="13.5" thickBot="1" x14ac:dyDescent="0.25">
      <c r="A17" s="101" t="s">
        <v>491</v>
      </c>
      <c r="B17" s="735" t="s">
        <v>322</v>
      </c>
      <c r="C17" s="97" t="s">
        <v>323</v>
      </c>
      <c r="D17" s="97" t="s">
        <v>324</v>
      </c>
      <c r="E17" s="98" t="s">
        <v>325</v>
      </c>
      <c r="F17" s="15"/>
      <c r="G17" s="228" t="s">
        <v>664</v>
      </c>
      <c r="H17" s="14"/>
      <c r="J17" s="739">
        <f>CHOOSE($R2,B18,B19,B20,B21,B22,B23,B24,B25,B26,B27,B28,B29,B30,B31)</f>
        <v>-26.49</v>
      </c>
      <c r="K17" s="740">
        <f>CHOOSE($R2,C18,C19,C20,C21,C22,C23,C24,C25,C26,C27,C28,C29,C30,C31)</f>
        <v>0.21115999999999999</v>
      </c>
      <c r="L17" s="740">
        <f>CHOOSE($R2,D18,D19,D20,D21,D22,D23,D24,D25,D26,D27,D28,D29,D30,D31)</f>
        <v>0.62392300000000001</v>
      </c>
      <c r="M17" s="740">
        <f>CHOOSE($R2,E18,E19,E20,E21,E22,E23,E24,E25,E26,E27,E28,E29,E30,E31)</f>
        <v>-1.7510899999999999E-2</v>
      </c>
      <c r="N17" s="741"/>
      <c r="O17" s="742">
        <f>CHOOSE($R2,G18,G19,G20,G21,G22,G23,G24,G25,G26,G27,G28,G29,G30,G31)</f>
        <v>3</v>
      </c>
    </row>
    <row r="18" spans="1:20" x14ac:dyDescent="0.2">
      <c r="A18" s="102" t="s">
        <v>963</v>
      </c>
      <c r="B18" s="736">
        <v>162.80000000000001</v>
      </c>
      <c r="C18" s="59">
        <v>-35.016399999999997</v>
      </c>
      <c r="D18" s="59">
        <v>2.3360599999999998</v>
      </c>
      <c r="E18" s="105">
        <v>-4.625539E-2</v>
      </c>
      <c r="F18" s="15"/>
      <c r="G18" s="229">
        <v>9</v>
      </c>
      <c r="H18" s="14"/>
    </row>
    <row r="19" spans="1:20" x14ac:dyDescent="0.2">
      <c r="A19" s="102" t="s">
        <v>964</v>
      </c>
      <c r="B19" s="1026">
        <v>35.840000000000003</v>
      </c>
      <c r="C19" s="1027">
        <v>-10.29</v>
      </c>
      <c r="D19" s="1027">
        <v>0.89429999999999998</v>
      </c>
      <c r="E19" s="1028">
        <v>-1.9196000000000001E-2</v>
      </c>
      <c r="F19" s="15"/>
      <c r="G19" s="229">
        <v>8</v>
      </c>
      <c r="H19" s="14" t="s">
        <v>981</v>
      </c>
      <c r="Q19" s="8">
        <v>-43.7</v>
      </c>
      <c r="R19">
        <v>9.3460000000000001</v>
      </c>
      <c r="S19">
        <v>-8.4136000000000002E-2</v>
      </c>
      <c r="T19">
        <v>-2.60247E-3</v>
      </c>
    </row>
    <row r="20" spans="1:20" x14ac:dyDescent="0.2">
      <c r="A20" s="103" t="s">
        <v>965</v>
      </c>
      <c r="B20" s="737">
        <v>173</v>
      </c>
      <c r="C20" s="77">
        <v>-42.646000000000001</v>
      </c>
      <c r="D20" s="77">
        <v>3.2236099999999999</v>
      </c>
      <c r="E20" s="106">
        <v>-6.9237599999999996E-2</v>
      </c>
      <c r="F20" s="15"/>
      <c r="G20" s="229">
        <v>7</v>
      </c>
      <c r="H20" s="14"/>
    </row>
    <row r="21" spans="1:20" x14ac:dyDescent="0.2">
      <c r="A21" s="103" t="s">
        <v>966</v>
      </c>
      <c r="B21" s="737">
        <v>-43.7</v>
      </c>
      <c r="C21" s="77">
        <v>9.3460000000000001</v>
      </c>
      <c r="D21" s="77">
        <v>-8.4136000000000002E-2</v>
      </c>
      <c r="E21" s="106">
        <v>-2.60247E-3</v>
      </c>
      <c r="F21" s="15"/>
      <c r="G21" s="229">
        <v>2</v>
      </c>
      <c r="H21" s="14" t="s">
        <v>982</v>
      </c>
    </row>
    <row r="22" spans="1:20" x14ac:dyDescent="0.2">
      <c r="A22" s="103" t="s">
        <v>967</v>
      </c>
      <c r="B22" s="737">
        <v>-26.49</v>
      </c>
      <c r="C22" s="77">
        <v>0.21115999999999999</v>
      </c>
      <c r="D22" s="77">
        <v>0.62392300000000001</v>
      </c>
      <c r="E22" s="106">
        <v>-1.7510899999999999E-2</v>
      </c>
      <c r="F22" s="15"/>
      <c r="G22" s="229">
        <v>3</v>
      </c>
      <c r="H22" s="14"/>
      <c r="J22" s="13"/>
      <c r="K22" s="13"/>
      <c r="L22" s="13"/>
      <c r="M22" s="13"/>
      <c r="N22" s="13"/>
      <c r="O22" s="13"/>
    </row>
    <row r="23" spans="1:20" x14ac:dyDescent="0.2">
      <c r="A23" s="103" t="s">
        <v>972</v>
      </c>
      <c r="B23" s="745">
        <v>-26.49</v>
      </c>
      <c r="C23" s="746">
        <v>0.21115999999999999</v>
      </c>
      <c r="D23" s="746">
        <v>0.62392300000000001</v>
      </c>
      <c r="E23" s="747">
        <v>-1.7510899999999999E-2</v>
      </c>
      <c r="F23" s="15"/>
      <c r="G23" s="229">
        <v>3</v>
      </c>
      <c r="H23" s="14" t="s">
        <v>983</v>
      </c>
      <c r="J23" s="13"/>
      <c r="K23" s="13"/>
      <c r="L23" s="13"/>
      <c r="M23" s="13"/>
      <c r="N23" s="13"/>
      <c r="O23" s="13"/>
    </row>
    <row r="24" spans="1:20" x14ac:dyDescent="0.2">
      <c r="A24" s="103" t="s">
        <v>968</v>
      </c>
      <c r="B24" s="737">
        <v>-51.66</v>
      </c>
      <c r="C24" s="77">
        <v>2.9800599999999999</v>
      </c>
      <c r="D24" s="77">
        <v>0.67113599999999995</v>
      </c>
      <c r="E24" s="106">
        <v>-2.1220204999999999E-2</v>
      </c>
      <c r="F24" s="15"/>
      <c r="G24" s="229">
        <v>5</v>
      </c>
      <c r="H24" s="14"/>
    </row>
    <row r="25" spans="1:20" x14ac:dyDescent="0.2">
      <c r="A25" s="103" t="s">
        <v>973</v>
      </c>
      <c r="B25" s="737">
        <v>-17.11</v>
      </c>
      <c r="C25" s="77">
        <v>1.468</v>
      </c>
      <c r="D25" s="77">
        <v>0.55259999999999998</v>
      </c>
      <c r="E25" s="106">
        <v>-1.5478E-2</v>
      </c>
      <c r="F25" s="15"/>
      <c r="G25" s="229">
        <v>3</v>
      </c>
      <c r="H25" s="14" t="s">
        <v>984</v>
      </c>
    </row>
    <row r="26" spans="1:20" x14ac:dyDescent="0.2">
      <c r="A26" s="103" t="s">
        <v>969</v>
      </c>
      <c r="B26" s="737">
        <v>-44.88</v>
      </c>
      <c r="C26" s="77">
        <v>1.3364149999999999</v>
      </c>
      <c r="D26" s="77">
        <v>0.83624851</v>
      </c>
      <c r="E26" s="106">
        <v>-2.4565453000000001E-2</v>
      </c>
      <c r="G26" s="229">
        <v>3</v>
      </c>
    </row>
    <row r="27" spans="1:20" x14ac:dyDescent="0.2">
      <c r="A27" s="103" t="s">
        <v>974</v>
      </c>
      <c r="B27" s="737">
        <v>-16.440000000000001</v>
      </c>
      <c r="C27" s="77">
        <v>1.5734999999999999</v>
      </c>
      <c r="D27" s="77">
        <v>0.63880000000000003</v>
      </c>
      <c r="E27" s="106">
        <v>-1.8180000000000002E-2</v>
      </c>
      <c r="G27" s="229">
        <v>2</v>
      </c>
      <c r="H27" t="s">
        <v>985</v>
      </c>
    </row>
    <row r="28" spans="1:20" x14ac:dyDescent="0.2">
      <c r="A28" s="103" t="s">
        <v>970</v>
      </c>
      <c r="B28" s="737">
        <v>-58.22</v>
      </c>
      <c r="C28" s="77">
        <v>2.5212300000000001</v>
      </c>
      <c r="D28" s="77">
        <v>0.91573839999999995</v>
      </c>
      <c r="E28" s="106">
        <v>-2.7816705000000001E-2</v>
      </c>
      <c r="G28" s="229">
        <v>3</v>
      </c>
    </row>
    <row r="29" spans="1:20" x14ac:dyDescent="0.2">
      <c r="A29" s="732" t="s">
        <v>975</v>
      </c>
      <c r="B29" s="738">
        <v>74.69</v>
      </c>
      <c r="C29" s="733">
        <v>0.1361</v>
      </c>
      <c r="D29" s="733">
        <v>0.61285000000000001</v>
      </c>
      <c r="E29" s="734">
        <v>-1.7172099999999999E-2</v>
      </c>
      <c r="G29" s="229">
        <v>1</v>
      </c>
      <c r="H29" t="s">
        <v>986</v>
      </c>
    </row>
    <row r="30" spans="1:20" x14ac:dyDescent="0.2">
      <c r="A30" s="103" t="s">
        <v>971</v>
      </c>
      <c r="B30" s="737">
        <v>-83.24</v>
      </c>
      <c r="C30" s="77">
        <v>28.248000000000001</v>
      </c>
      <c r="D30" s="77">
        <v>-0.69877</v>
      </c>
      <c r="E30" s="106">
        <v>4.4790000000000003E-3</v>
      </c>
      <c r="G30" s="229">
        <v>-1</v>
      </c>
    </row>
    <row r="31" spans="1:20" ht="13.5" thickBot="1" x14ac:dyDescent="0.25">
      <c r="A31" s="104" t="s">
        <v>976</v>
      </c>
      <c r="B31" s="1029">
        <v>50.61</v>
      </c>
      <c r="C31" s="1030">
        <v>-4.117</v>
      </c>
      <c r="D31" s="1030">
        <v>0.98089999999999999</v>
      </c>
      <c r="E31" s="1031">
        <v>-2.198E-2</v>
      </c>
      <c r="G31" s="229">
        <v>0</v>
      </c>
      <c r="H31" t="s">
        <v>981</v>
      </c>
    </row>
    <row r="33" spans="1:14" x14ac:dyDescent="0.2">
      <c r="A33" t="s">
        <v>312</v>
      </c>
    </row>
    <row r="34" spans="1:14" x14ac:dyDescent="0.2">
      <c r="A34" s="14" t="s">
        <v>314</v>
      </c>
      <c r="B34">
        <v>455.5</v>
      </c>
      <c r="J34" s="17">
        <f>CHOOSE($J2,B34,B35,B36,B37,B38,B39,B40)</f>
        <v>468.6</v>
      </c>
    </row>
    <row r="35" spans="1:14" x14ac:dyDescent="0.2">
      <c r="A35" s="14" t="s">
        <v>315</v>
      </c>
      <c r="B35">
        <v>501.7</v>
      </c>
    </row>
    <row r="36" spans="1:14" x14ac:dyDescent="0.2">
      <c r="A36" s="14" t="s">
        <v>316</v>
      </c>
      <c r="B36">
        <v>468.6</v>
      </c>
    </row>
    <row r="37" spans="1:14" x14ac:dyDescent="0.2">
      <c r="A37" s="14" t="s">
        <v>317</v>
      </c>
      <c r="B37">
        <v>522.9</v>
      </c>
    </row>
    <row r="38" spans="1:14" x14ac:dyDescent="0.2">
      <c r="A38" s="14" t="s">
        <v>318</v>
      </c>
      <c r="B38">
        <v>544.29999999999995</v>
      </c>
    </row>
    <row r="39" spans="1:14" x14ac:dyDescent="0.2">
      <c r="A39" s="14" t="s">
        <v>319</v>
      </c>
      <c r="B39">
        <v>568.5</v>
      </c>
    </row>
    <row r="40" spans="1:14" x14ac:dyDescent="0.2">
      <c r="A40" s="14" t="s">
        <v>320</v>
      </c>
      <c r="B40">
        <v>638.29999999999995</v>
      </c>
    </row>
    <row r="42" spans="1:14" x14ac:dyDescent="0.2">
      <c r="A42" t="s">
        <v>333</v>
      </c>
    </row>
    <row r="43" spans="1:14" x14ac:dyDescent="0.2">
      <c r="A43" t="s">
        <v>334</v>
      </c>
      <c r="B43" s="8" t="s">
        <v>336</v>
      </c>
      <c r="C43" s="8" t="s">
        <v>337</v>
      </c>
      <c r="D43" s="8" t="s">
        <v>338</v>
      </c>
      <c r="E43" s="8" t="s">
        <v>339</v>
      </c>
      <c r="F43" s="8" t="s">
        <v>340</v>
      </c>
      <c r="J43" s="17"/>
    </row>
    <row r="44" spans="1:14" x14ac:dyDescent="0.2">
      <c r="A44" s="14" t="s">
        <v>314</v>
      </c>
      <c r="B44">
        <v>6239</v>
      </c>
      <c r="C44">
        <v>-370.82</v>
      </c>
      <c r="D44">
        <v>7.7278560000000001</v>
      </c>
      <c r="E44" s="18">
        <v>-5.6210209999999997E-2</v>
      </c>
      <c r="F44">
        <v>0</v>
      </c>
      <c r="J44" s="17">
        <f>CHOOSE($J$2,B44,B45,B46,B47,B48,B49,B50)</f>
        <v>5396</v>
      </c>
      <c r="K44" s="17">
        <f>CHOOSE($J$2,C44,C45,C46,C47,C48,C49,C50)</f>
        <v>-268.45999999999998</v>
      </c>
      <c r="L44" s="17">
        <f>CHOOSE($J$2,D44,D45,D46,D47,D48,D49,D50)</f>
        <v>2.2305538999999999</v>
      </c>
      <c r="M44" s="17">
        <f>CHOOSE($J$2,E44,E45,E46,E47,E48,E49,E50)</f>
        <v>7.6387700000000003E-2</v>
      </c>
      <c r="N44" s="17">
        <f>CHOOSE($J$2,F44,F45,F46,F47,F48,F49,F50)</f>
        <v>-1.1460776999999999E-3</v>
      </c>
    </row>
    <row r="45" spans="1:14" x14ac:dyDescent="0.2">
      <c r="A45" s="14" t="s">
        <v>315</v>
      </c>
      <c r="B45">
        <v>5142</v>
      </c>
      <c r="C45">
        <v>-240.93</v>
      </c>
      <c r="D45">
        <v>1.7691602</v>
      </c>
      <c r="E45" s="18">
        <v>6.6269229999999998E-2</v>
      </c>
      <c r="F45" s="18">
        <v>-9.3751218199999997E-4</v>
      </c>
    </row>
    <row r="46" spans="1:14" x14ac:dyDescent="0.2">
      <c r="A46" s="14" t="s">
        <v>316</v>
      </c>
      <c r="B46">
        <v>5396</v>
      </c>
      <c r="C46">
        <v>-268.45999999999998</v>
      </c>
      <c r="D46">
        <v>2.2305538999999999</v>
      </c>
      <c r="E46" s="18">
        <v>7.6387700000000003E-2</v>
      </c>
      <c r="F46" s="18">
        <v>-1.1460776999999999E-3</v>
      </c>
    </row>
    <row r="47" spans="1:14" x14ac:dyDescent="0.2">
      <c r="A47" s="14" t="s">
        <v>317</v>
      </c>
      <c r="B47">
        <v>5249</v>
      </c>
      <c r="C47">
        <v>-244.94</v>
      </c>
      <c r="D47">
        <v>-9.3270000000000006E-2</v>
      </c>
      <c r="E47">
        <v>0.15679582</v>
      </c>
      <c r="F47">
        <v>-2.0014360000000001E-3</v>
      </c>
    </row>
    <row r="48" spans="1:14" x14ac:dyDescent="0.2">
      <c r="A48" s="14" t="s">
        <v>318</v>
      </c>
      <c r="B48">
        <v>4883</v>
      </c>
      <c r="C48">
        <v>-209.83</v>
      </c>
      <c r="D48">
        <v>-1.4649513000000001</v>
      </c>
      <c r="E48">
        <v>0.18268620799999999</v>
      </c>
      <c r="F48">
        <v>-2.1985709999999999E-3</v>
      </c>
    </row>
    <row r="49" spans="1:14" x14ac:dyDescent="0.2">
      <c r="A49" s="14" t="s">
        <v>319</v>
      </c>
      <c r="B49">
        <v>4891</v>
      </c>
      <c r="C49">
        <v>-240.98</v>
      </c>
      <c r="D49">
        <v>0.99201859999999997</v>
      </c>
      <c r="E49">
        <v>0.120279</v>
      </c>
      <c r="F49">
        <v>-1.6921373499999999E-3</v>
      </c>
    </row>
    <row r="50" spans="1:14" x14ac:dyDescent="0.2">
      <c r="A50" s="14" t="s">
        <v>320</v>
      </c>
      <c r="B50">
        <v>5669</v>
      </c>
      <c r="C50">
        <v>-492.31599999999997</v>
      </c>
      <c r="D50">
        <v>18.660875999999998</v>
      </c>
      <c r="E50">
        <v>-0.3558077</v>
      </c>
      <c r="F50">
        <v>2.7162800000000002E-3</v>
      </c>
    </row>
    <row r="51" spans="1:14" x14ac:dyDescent="0.2">
      <c r="A51" s="14" t="s">
        <v>335</v>
      </c>
    </row>
    <row r="52" spans="1:14" x14ac:dyDescent="0.2">
      <c r="A52" s="14" t="s">
        <v>314</v>
      </c>
      <c r="B52" s="18">
        <v>4642</v>
      </c>
      <c r="C52" s="18">
        <v>-464.98</v>
      </c>
      <c r="D52" s="18">
        <v>122.33710000000001</v>
      </c>
      <c r="E52" s="18">
        <v>-14.61139</v>
      </c>
      <c r="F52" s="18">
        <v>0.56778790000000001</v>
      </c>
      <c r="J52" s="17">
        <f>CHOOSE($J$2,B52,B53,B54,B55,B56,B57,B58)</f>
        <v>4554</v>
      </c>
      <c r="K52" s="17">
        <f>CHOOSE($J$2,C52,C53,C54,C55,C56,C57,C58)</f>
        <v>-387.84</v>
      </c>
      <c r="L52" s="17">
        <f>CHOOSE($J$2,D52,D53,D54,D55,D56,D57,D58)</f>
        <v>92.247686999999999</v>
      </c>
      <c r="M52" s="17">
        <f>CHOOSE($J$2,E52,E53,E54,E55,E56,E57,E58)</f>
        <v>-13.263945</v>
      </c>
      <c r="N52" s="17">
        <f>CHOOSE($J$2,F52,F53,F54,F55,F56,F57,F58)</f>
        <v>0.66112806000000002</v>
      </c>
    </row>
    <row r="53" spans="1:14" x14ac:dyDescent="0.2">
      <c r="A53" s="14" t="s">
        <v>315</v>
      </c>
      <c r="B53" s="18">
        <v>4541</v>
      </c>
      <c r="C53" s="18">
        <v>-349.25</v>
      </c>
      <c r="D53" s="18">
        <v>67.706520999999995</v>
      </c>
      <c r="E53" s="18">
        <v>-8.6662160000000004</v>
      </c>
      <c r="F53" s="18">
        <v>0.38965319999999998</v>
      </c>
    </row>
    <row r="54" spans="1:14" x14ac:dyDescent="0.2">
      <c r="A54" s="14" t="s">
        <v>316</v>
      </c>
      <c r="B54" s="18">
        <v>4554</v>
      </c>
      <c r="C54" s="18">
        <v>-387.84</v>
      </c>
      <c r="D54" s="18">
        <v>92.247686999999999</v>
      </c>
      <c r="E54" s="18">
        <v>-13.263945</v>
      </c>
      <c r="F54" s="18">
        <v>0.66112806000000002</v>
      </c>
    </row>
    <row r="55" spans="1:14" x14ac:dyDescent="0.2">
      <c r="A55" s="14" t="s">
        <v>317</v>
      </c>
      <c r="B55">
        <v>4555</v>
      </c>
      <c r="C55">
        <v>-408.23</v>
      </c>
      <c r="D55">
        <v>99.542490000000001</v>
      </c>
      <c r="E55">
        <v>-13.808214</v>
      </c>
      <c r="F55">
        <v>0.65482125400000002</v>
      </c>
    </row>
    <row r="56" spans="1:14" x14ac:dyDescent="0.2">
      <c r="A56" s="14" t="s">
        <v>318</v>
      </c>
      <c r="B56">
        <v>4558</v>
      </c>
      <c r="C56">
        <v>-482.04899999999998</v>
      </c>
      <c r="D56">
        <v>131.87249700000001</v>
      </c>
      <c r="E56">
        <v>-19.454992099999998</v>
      </c>
      <c r="F56">
        <v>0.95638882000000003</v>
      </c>
    </row>
    <row r="57" spans="1:14" x14ac:dyDescent="0.2">
      <c r="A57" s="14" t="s">
        <v>319</v>
      </c>
      <c r="B57">
        <v>4576</v>
      </c>
      <c r="C57">
        <v>-551.96</v>
      </c>
      <c r="D57">
        <v>153.7439</v>
      </c>
      <c r="E57">
        <v>-21.687403100000001</v>
      </c>
      <c r="F57">
        <v>1.0061530000000001</v>
      </c>
    </row>
    <row r="58" spans="1:14" x14ac:dyDescent="0.2">
      <c r="A58" s="14" t="s">
        <v>320</v>
      </c>
      <c r="B58">
        <v>4510</v>
      </c>
      <c r="C58">
        <v>-469.89</v>
      </c>
      <c r="D58">
        <v>80.928619999999995</v>
      </c>
      <c r="E58">
        <v>-9.8366313099999996</v>
      </c>
      <c r="F58">
        <v>0.43003010000000003</v>
      </c>
    </row>
    <row r="61" spans="1:14" x14ac:dyDescent="0.2">
      <c r="A61" t="s">
        <v>381</v>
      </c>
    </row>
    <row r="62" spans="1:14" x14ac:dyDescent="0.2">
      <c r="B62" s="8" t="s">
        <v>385</v>
      </c>
      <c r="C62" s="8" t="s">
        <v>850</v>
      </c>
      <c r="D62" s="8" t="s">
        <v>851</v>
      </c>
      <c r="E62" s="8" t="s">
        <v>384</v>
      </c>
      <c r="F62" s="8" t="s">
        <v>282</v>
      </c>
      <c r="J62" s="8" t="s">
        <v>385</v>
      </c>
      <c r="K62" s="8" t="s">
        <v>382</v>
      </c>
      <c r="L62" s="8" t="s">
        <v>383</v>
      </c>
      <c r="M62" s="8" t="s">
        <v>384</v>
      </c>
    </row>
    <row r="63" spans="1:14" x14ac:dyDescent="0.2">
      <c r="A63" s="14" t="s">
        <v>314</v>
      </c>
      <c r="B63" s="8">
        <v>0.84</v>
      </c>
      <c r="C63" s="8">
        <v>3</v>
      </c>
      <c r="D63" s="8">
        <v>3.57</v>
      </c>
      <c r="E63" s="8">
        <v>50</v>
      </c>
      <c r="F63" s="8">
        <v>4</v>
      </c>
      <c r="J63" s="17">
        <f>CHOOSE($J$2,B63,B64,B65,B66,B67,B68,B69)</f>
        <v>0.47</v>
      </c>
      <c r="K63" s="17">
        <f>CHOOSE($J$2,C63,C64,C65,C66,C67,C68,C69)</f>
        <v>1.9</v>
      </c>
      <c r="L63" s="17">
        <f>CHOOSE($J$2,D63,D64,D65,D66,D67,D68,D69)</f>
        <v>0.7</v>
      </c>
      <c r="M63" s="17">
        <f>CHOOSE($J$2,E63,E64,E65,E66,E67,E68,E69)</f>
        <v>25</v>
      </c>
      <c r="N63" s="17"/>
    </row>
    <row r="64" spans="1:14" x14ac:dyDescent="0.2">
      <c r="A64" s="14" t="s">
        <v>315</v>
      </c>
      <c r="B64" s="8">
        <v>0.6</v>
      </c>
      <c r="C64" s="8">
        <v>3</v>
      </c>
      <c r="D64" s="8">
        <v>0.87</v>
      </c>
      <c r="E64" s="8">
        <v>40</v>
      </c>
      <c r="F64" s="8">
        <v>3</v>
      </c>
      <c r="J64" s="186"/>
      <c r="K64" s="17">
        <f>CHOOSE($J$2,F63,F64,F65,F66,F67,F68,F69)</f>
        <v>1.9</v>
      </c>
      <c r="L64" s="186"/>
      <c r="M64" s="186"/>
    </row>
    <row r="65" spans="1:14" x14ac:dyDescent="0.2">
      <c r="A65" s="14" t="s">
        <v>316</v>
      </c>
      <c r="B65" s="8">
        <v>0.47</v>
      </c>
      <c r="C65" s="8">
        <v>1.9</v>
      </c>
      <c r="D65" s="8">
        <v>0.7</v>
      </c>
      <c r="E65" s="8">
        <v>25</v>
      </c>
      <c r="F65" s="8">
        <v>1.9</v>
      </c>
    </row>
    <row r="66" spans="1:14" x14ac:dyDescent="0.2">
      <c r="A66" s="14" t="s">
        <v>317</v>
      </c>
      <c r="B66" s="8">
        <v>0.38</v>
      </c>
      <c r="C66" s="8">
        <v>1.7</v>
      </c>
      <c r="D66" s="8">
        <v>0.6</v>
      </c>
      <c r="E66" s="8">
        <v>21</v>
      </c>
      <c r="F66" s="8">
        <v>1.7</v>
      </c>
    </row>
    <row r="67" spans="1:14" x14ac:dyDescent="0.2">
      <c r="A67" s="14" t="s">
        <v>318</v>
      </c>
      <c r="B67" s="8">
        <v>0.33</v>
      </c>
      <c r="C67" s="8">
        <v>1.6</v>
      </c>
      <c r="D67" s="8">
        <v>0.5</v>
      </c>
      <c r="E67" s="8">
        <v>18</v>
      </c>
      <c r="F67" s="8">
        <v>1.6</v>
      </c>
    </row>
    <row r="68" spans="1:14" x14ac:dyDescent="0.2">
      <c r="A68" s="14" t="s">
        <v>319</v>
      </c>
      <c r="B68" s="8">
        <v>0.28000000000000003</v>
      </c>
      <c r="C68" s="8">
        <v>1.1000000000000001</v>
      </c>
      <c r="D68" s="8">
        <v>0.39</v>
      </c>
      <c r="E68" s="8">
        <v>14</v>
      </c>
      <c r="F68" s="8">
        <v>1.1000000000000001</v>
      </c>
    </row>
    <row r="69" spans="1:14" x14ac:dyDescent="0.2">
      <c r="A69" s="14" t="s">
        <v>320</v>
      </c>
      <c r="B69" s="8">
        <v>0.25</v>
      </c>
      <c r="C69" s="8">
        <v>0.6</v>
      </c>
      <c r="D69" s="8">
        <v>0.32</v>
      </c>
      <c r="E69" s="8">
        <v>12</v>
      </c>
      <c r="F69" s="8">
        <v>0.6</v>
      </c>
    </row>
    <row r="71" spans="1:14" x14ac:dyDescent="0.2">
      <c r="A71" t="s">
        <v>473</v>
      </c>
    </row>
    <row r="72" spans="1:14" x14ac:dyDescent="0.2">
      <c r="B72" t="s">
        <v>474</v>
      </c>
      <c r="C72" t="s">
        <v>476</v>
      </c>
      <c r="J72" s="8" t="s">
        <v>475</v>
      </c>
      <c r="K72" s="8" t="s">
        <v>477</v>
      </c>
      <c r="L72" s="8" t="s">
        <v>431</v>
      </c>
      <c r="M72" s="8" t="s">
        <v>431</v>
      </c>
    </row>
    <row r="73" spans="1:14" x14ac:dyDescent="0.2">
      <c r="A73" s="14" t="s">
        <v>314</v>
      </c>
      <c r="B73">
        <v>20.7</v>
      </c>
      <c r="C73" s="16">
        <v>24.2</v>
      </c>
      <c r="J73" s="17">
        <f>CHOOSE($J$2,B73,B74,B75,B76,B77,B78,B79)</f>
        <v>19.899999999999999</v>
      </c>
      <c r="K73" s="17">
        <f>CHOOSE($J$2,C73,C74,C75,C76,C77,C78,C79)</f>
        <v>28.9</v>
      </c>
      <c r="L73" s="17">
        <f>CHOOSE($J$2,D73,D74,D75,D76,D77,D78,D79)</f>
        <v>0</v>
      </c>
      <c r="M73" s="17">
        <f>CHOOSE($J$2,E73,E74,E75,E76,E77,E78,E79)</f>
        <v>0</v>
      </c>
      <c r="N73" s="17">
        <f>CHOOSE($J$2,F73,F74,F75,F76,F77,F78,F79)</f>
        <v>0</v>
      </c>
    </row>
    <row r="74" spans="1:14" x14ac:dyDescent="0.2">
      <c r="A74" s="14" t="s">
        <v>315</v>
      </c>
      <c r="B74">
        <v>18</v>
      </c>
      <c r="C74" s="16">
        <v>23</v>
      </c>
    </row>
    <row r="75" spans="1:14" x14ac:dyDescent="0.2">
      <c r="A75" s="14" t="s">
        <v>316</v>
      </c>
      <c r="B75">
        <v>19.899999999999999</v>
      </c>
      <c r="C75" s="16">
        <v>28.9</v>
      </c>
    </row>
    <row r="76" spans="1:14" x14ac:dyDescent="0.2">
      <c r="A76" s="14" t="s">
        <v>317</v>
      </c>
      <c r="B76">
        <v>16.8</v>
      </c>
      <c r="C76" s="16">
        <v>24.1</v>
      </c>
    </row>
    <row r="77" spans="1:14" x14ac:dyDescent="0.2">
      <c r="A77" s="14" t="s">
        <v>318</v>
      </c>
      <c r="B77">
        <v>15.4</v>
      </c>
      <c r="C77" s="16">
        <v>25.1</v>
      </c>
    </row>
    <row r="78" spans="1:14" x14ac:dyDescent="0.2">
      <c r="A78" s="14" t="s">
        <v>319</v>
      </c>
      <c r="B78">
        <v>15.4</v>
      </c>
      <c r="C78" s="16">
        <v>20.3</v>
      </c>
    </row>
    <row r="79" spans="1:14" x14ac:dyDescent="0.2">
      <c r="A79" s="14" t="s">
        <v>320</v>
      </c>
      <c r="B79">
        <v>11.7</v>
      </c>
      <c r="C79" s="16">
        <v>16.100000000000001</v>
      </c>
    </row>
    <row r="80" spans="1:14" ht="13.5" thickBot="1" x14ac:dyDescent="0.25"/>
    <row r="81" spans="1:17" ht="13.5" thickBot="1" x14ac:dyDescent="0.25">
      <c r="A81" s="37" t="s">
        <v>321</v>
      </c>
      <c r="B81" s="114" t="s">
        <v>299</v>
      </c>
      <c r="C81" s="112" t="s">
        <v>300</v>
      </c>
      <c r="D81" s="112" t="s">
        <v>301</v>
      </c>
      <c r="E81" s="112" t="s">
        <v>302</v>
      </c>
      <c r="F81" s="112" t="s">
        <v>303</v>
      </c>
      <c r="G81" s="113" t="s">
        <v>287</v>
      </c>
      <c r="H81" s="8" t="s">
        <v>388</v>
      </c>
      <c r="J81" s="8" t="s">
        <v>299</v>
      </c>
      <c r="K81" s="8" t="s">
        <v>300</v>
      </c>
      <c r="L81" s="8" t="s">
        <v>301</v>
      </c>
      <c r="M81" s="8" t="s">
        <v>302</v>
      </c>
      <c r="N81" s="8" t="s">
        <v>303</v>
      </c>
      <c r="O81" s="8" t="s">
        <v>287</v>
      </c>
      <c r="P81" s="8" t="s">
        <v>388</v>
      </c>
      <c r="Q81" s="744" t="s">
        <v>980</v>
      </c>
    </row>
    <row r="82" spans="1:17" x14ac:dyDescent="0.2">
      <c r="A82" s="102" t="s">
        <v>314</v>
      </c>
      <c r="B82" s="117">
        <v>72.960667077911125</v>
      </c>
      <c r="C82" s="116">
        <v>121.59364924523847</v>
      </c>
      <c r="D82" s="116">
        <v>155.94230587865749</v>
      </c>
      <c r="E82" s="116">
        <v>139.80674289743263</v>
      </c>
      <c r="F82" s="116">
        <v>93.607862080706312</v>
      </c>
      <c r="G82" s="119">
        <v>275.79157462310582</v>
      </c>
      <c r="H82" s="17">
        <f t="shared" ref="H82:H88" si="4">(B82+2*C82+2*D82+2*E82+F82)/8</f>
        <v>125.15674065015932</v>
      </c>
      <c r="J82" s="17">
        <f t="shared" ref="J82:P82" si="5">CHOOSE($J2,B82,B83,B84,B85,B86,B87,B88)</f>
        <v>93.501300946374343</v>
      </c>
      <c r="K82" s="17">
        <f t="shared" si="5"/>
        <v>133.63650044663325</v>
      </c>
      <c r="L82" s="17">
        <f t="shared" si="5"/>
        <v>153.33916629160899</v>
      </c>
      <c r="M82" s="17">
        <f t="shared" si="5"/>
        <v>125.87406393441726</v>
      </c>
      <c r="N82" s="17">
        <f t="shared" si="5"/>
        <v>80.528431808555695</v>
      </c>
      <c r="O82" s="17">
        <f t="shared" si="5"/>
        <v>272.10983219005544</v>
      </c>
      <c r="P82" s="17">
        <f t="shared" si="5"/>
        <v>124.96614926253113</v>
      </c>
      <c r="Q82" s="743"/>
    </row>
    <row r="83" spans="1:17" x14ac:dyDescent="0.2">
      <c r="A83" s="103" t="s">
        <v>315</v>
      </c>
      <c r="B83" s="118">
        <v>95.572507186195281</v>
      </c>
      <c r="C83" s="115">
        <v>128.63618469054543</v>
      </c>
      <c r="D83" s="115">
        <v>143.57815849069621</v>
      </c>
      <c r="E83" s="115">
        <v>119.41550390327339</v>
      </c>
      <c r="F83" s="115">
        <v>81.916525577289789</v>
      </c>
      <c r="G83" s="120">
        <v>254.13711583924348</v>
      </c>
      <c r="H83" s="17">
        <f t="shared" si="4"/>
        <v>120.0935908665644</v>
      </c>
      <c r="Q83" s="743"/>
    </row>
    <row r="84" spans="1:17" x14ac:dyDescent="0.2">
      <c r="A84" s="103" t="s">
        <v>316</v>
      </c>
      <c r="B84" s="118">
        <v>93.501300946374343</v>
      </c>
      <c r="C84" s="115">
        <v>133.63650044663325</v>
      </c>
      <c r="D84" s="115">
        <v>153.33916629160899</v>
      </c>
      <c r="E84" s="115">
        <v>125.87406393441726</v>
      </c>
      <c r="F84" s="115">
        <v>80.528431808555695</v>
      </c>
      <c r="G84" s="120">
        <v>272.10983219005544</v>
      </c>
      <c r="H84" s="17">
        <f t="shared" si="4"/>
        <v>124.96614926253113</v>
      </c>
      <c r="Q84" s="743"/>
    </row>
    <row r="85" spans="1:17" x14ac:dyDescent="0.2">
      <c r="A85" s="103" t="s">
        <v>317</v>
      </c>
      <c r="B85" s="118">
        <v>109.44276346564691</v>
      </c>
      <c r="C85" s="115">
        <v>144.02819152928751</v>
      </c>
      <c r="D85" s="115">
        <v>157.29032142737802</v>
      </c>
      <c r="E85" s="115">
        <v>126.64323485797468</v>
      </c>
      <c r="F85" s="115">
        <v>84.125660454847889</v>
      </c>
      <c r="G85" s="120">
        <v>284.31771499438048</v>
      </c>
      <c r="H85" s="17">
        <f t="shared" si="4"/>
        <v>131.18648994372188</v>
      </c>
      <c r="Q85" s="743"/>
    </row>
    <row r="86" spans="1:17" x14ac:dyDescent="0.2">
      <c r="A86" s="103" t="s">
        <v>318</v>
      </c>
      <c r="B86" s="118">
        <v>103.26184281504766</v>
      </c>
      <c r="C86" s="115">
        <v>129.12045695162735</v>
      </c>
      <c r="D86" s="115">
        <v>137.67950226085816</v>
      </c>
      <c r="E86" s="115">
        <v>109.64286232841125</v>
      </c>
      <c r="F86" s="115">
        <v>73.496226938514042</v>
      </c>
      <c r="G86" s="120">
        <v>243.11545833333335</v>
      </c>
      <c r="H86" s="17">
        <f t="shared" si="4"/>
        <v>116.20546410441941</v>
      </c>
      <c r="Q86" s="743"/>
    </row>
    <row r="87" spans="1:17" x14ac:dyDescent="0.2">
      <c r="A87" s="103" t="s">
        <v>319</v>
      </c>
      <c r="B87" s="118">
        <v>94.451725262310021</v>
      </c>
      <c r="C87" s="115">
        <v>112.0994984711613</v>
      </c>
      <c r="D87" s="115">
        <v>116.25511167911078</v>
      </c>
      <c r="E87" s="115">
        <v>92.972729406169918</v>
      </c>
      <c r="F87" s="115">
        <v>66.0217609372894</v>
      </c>
      <c r="G87" s="120">
        <v>200.95670833333338</v>
      </c>
      <c r="H87" s="17">
        <f t="shared" si="4"/>
        <v>100.39102066406042</v>
      </c>
      <c r="Q87" s="743"/>
    </row>
    <row r="88" spans="1:17" ht="13.5" thickBot="1" x14ac:dyDescent="0.25">
      <c r="A88" s="104" t="s">
        <v>320</v>
      </c>
      <c r="B88" s="121">
        <v>130.53304188921103</v>
      </c>
      <c r="C88" s="122">
        <v>142.26231519692078</v>
      </c>
      <c r="D88" s="122">
        <v>135.39392005155872</v>
      </c>
      <c r="E88" s="122">
        <v>103.22244111540275</v>
      </c>
      <c r="F88" s="122">
        <v>73.991640852039325</v>
      </c>
      <c r="G88" s="123">
        <v>214.7037166220982</v>
      </c>
      <c r="H88" s="17">
        <f t="shared" si="4"/>
        <v>120.78525443362687</v>
      </c>
      <c r="Q88" s="743"/>
    </row>
    <row r="90" spans="1:17" x14ac:dyDescent="0.2">
      <c r="A90" t="s">
        <v>661</v>
      </c>
      <c r="F90" t="s">
        <v>336</v>
      </c>
      <c r="G90" t="s">
        <v>337</v>
      </c>
    </row>
    <row r="91" spans="1:17" x14ac:dyDescent="0.2">
      <c r="A91" s="228" t="s">
        <v>510</v>
      </c>
      <c r="B91" s="151" t="s">
        <v>662</v>
      </c>
      <c r="C91" s="151" t="s">
        <v>337</v>
      </c>
      <c r="D91" s="44"/>
      <c r="E91" s="41">
        <f>J2</f>
        <v>3</v>
      </c>
      <c r="F91" s="20">
        <f>CHOOSE($E91,B92,B93,B94,B95,B96,B97,B98)</f>
        <v>1</v>
      </c>
      <c r="G91" s="20">
        <f>CHOOSE($E91,C92,C93,C94,C95,C96,B97,B98)</f>
        <v>1</v>
      </c>
    </row>
    <row r="92" spans="1:17" x14ac:dyDescent="0.2">
      <c r="A92">
        <v>1</v>
      </c>
      <c r="B92" s="40">
        <v>1</v>
      </c>
      <c r="C92" s="40">
        <v>1</v>
      </c>
      <c r="D92" s="44"/>
      <c r="E92" s="44"/>
      <c r="F92" s="44"/>
      <c r="G92" s="44"/>
    </row>
    <row r="93" spans="1:17" x14ac:dyDescent="0.2">
      <c r="A93">
        <v>2</v>
      </c>
      <c r="B93" s="40">
        <v>0.5</v>
      </c>
      <c r="C93" s="40">
        <v>1</v>
      </c>
      <c r="D93" s="44"/>
      <c r="E93" s="44"/>
      <c r="F93" s="44"/>
      <c r="G93" s="44"/>
    </row>
    <row r="94" spans="1:17" x14ac:dyDescent="0.2">
      <c r="A94">
        <v>3</v>
      </c>
      <c r="B94" s="40">
        <v>1</v>
      </c>
      <c r="C94" s="40">
        <v>1</v>
      </c>
      <c r="D94" s="44"/>
      <c r="E94" s="44"/>
      <c r="F94" s="44"/>
      <c r="G94" s="44"/>
    </row>
    <row r="95" spans="1:17" x14ac:dyDescent="0.2">
      <c r="A95">
        <v>4</v>
      </c>
      <c r="B95" s="40">
        <v>0.5</v>
      </c>
      <c r="C95" s="40">
        <v>1</v>
      </c>
      <c r="D95" s="44"/>
      <c r="E95" s="44"/>
      <c r="F95" s="44"/>
      <c r="G95" s="44"/>
    </row>
    <row r="96" spans="1:17" x14ac:dyDescent="0.2">
      <c r="A96">
        <v>5</v>
      </c>
      <c r="B96" s="40">
        <v>0.5</v>
      </c>
      <c r="C96" s="40">
        <v>1</v>
      </c>
      <c r="D96" s="44"/>
      <c r="E96" s="44"/>
      <c r="F96" s="44"/>
      <c r="G96" s="44"/>
    </row>
    <row r="97" spans="1:15" x14ac:dyDescent="0.2">
      <c r="A97">
        <v>6</v>
      </c>
      <c r="B97" s="40">
        <v>0</v>
      </c>
      <c r="C97" s="40">
        <v>1</v>
      </c>
      <c r="D97" s="44"/>
      <c r="E97" s="44"/>
      <c r="F97" s="44"/>
      <c r="G97" s="44"/>
    </row>
    <row r="98" spans="1:15" x14ac:dyDescent="0.2">
      <c r="A98">
        <v>7</v>
      </c>
      <c r="B98" s="40">
        <v>0</v>
      </c>
      <c r="C98" s="40">
        <v>0</v>
      </c>
    </row>
    <row r="101" spans="1:15" x14ac:dyDescent="0.2">
      <c r="A101" t="s">
        <v>696</v>
      </c>
    </row>
    <row r="102" spans="1:15" x14ac:dyDescent="0.2">
      <c r="A102" s="6" t="s">
        <v>1135</v>
      </c>
      <c r="B102">
        <v>2</v>
      </c>
      <c r="C102" s="316" t="str">
        <f>CHOOSE($B102,A102,A103)</f>
        <v>Calificación Energética</v>
      </c>
      <c r="E102" s="6" t="s">
        <v>1135</v>
      </c>
      <c r="I102" s="316" t="str">
        <f>CHOOSE($B102,E102,E103)</f>
        <v>Calificación Energética</v>
      </c>
    </row>
    <row r="103" spans="1:15" x14ac:dyDescent="0.2">
      <c r="A103" s="6" t="s">
        <v>1134</v>
      </c>
      <c r="E103" s="6" t="s">
        <v>1134</v>
      </c>
    </row>
    <row r="105" spans="1:15" ht="13.5" thickBot="1" x14ac:dyDescent="0.25">
      <c r="A105" t="s">
        <v>761</v>
      </c>
      <c r="F105" s="1538" t="s">
        <v>765</v>
      </c>
      <c r="G105" s="1538"/>
      <c r="H105" s="1538"/>
    </row>
    <row r="106" spans="1:15" ht="26.25" thickBot="1" x14ac:dyDescent="0.25">
      <c r="A106" s="101"/>
      <c r="B106" s="392" t="s">
        <v>762</v>
      </c>
      <c r="C106" s="393" t="s">
        <v>763</v>
      </c>
      <c r="D106" s="394" t="s">
        <v>764</v>
      </c>
      <c r="E106" s="390"/>
      <c r="F106" s="400" t="s">
        <v>762</v>
      </c>
      <c r="G106" s="395" t="s">
        <v>256</v>
      </c>
      <c r="H106" s="396" t="s">
        <v>764</v>
      </c>
      <c r="M106" s="17"/>
      <c r="O106" s="17"/>
    </row>
    <row r="107" spans="1:15" ht="13.5" thickBot="1" x14ac:dyDescent="0.25">
      <c r="A107" s="102" t="s">
        <v>314</v>
      </c>
      <c r="B107" s="99">
        <v>166</v>
      </c>
      <c r="C107" s="59">
        <v>100</v>
      </c>
      <c r="D107" s="387">
        <v>16</v>
      </c>
      <c r="E107" s="391"/>
      <c r="F107" s="397">
        <f>CHOOSE($J2,B107,B108,B109,B110,B111,B112,B113)</f>
        <v>125</v>
      </c>
      <c r="G107" s="398">
        <f>CHOOSE($J2,C107,C108,C109,C110,C111,C112,C113)</f>
        <v>100</v>
      </c>
      <c r="H107" s="399">
        <f>CHOOSE($J2,D107,D108,D109,D110,D111,D112,D113)</f>
        <v>40</v>
      </c>
    </row>
    <row r="108" spans="1:15" x14ac:dyDescent="0.2">
      <c r="A108" s="103" t="s">
        <v>315</v>
      </c>
      <c r="B108" s="100">
        <v>135</v>
      </c>
      <c r="C108" s="77">
        <v>100</v>
      </c>
      <c r="D108" s="388">
        <v>31</v>
      </c>
      <c r="E108" s="391"/>
      <c r="F108" s="15"/>
      <c r="G108" s="229"/>
      <c r="H108" s="14"/>
    </row>
    <row r="109" spans="1:15" x14ac:dyDescent="0.2">
      <c r="A109" s="103" t="s">
        <v>316</v>
      </c>
      <c r="B109" s="100">
        <v>125</v>
      </c>
      <c r="C109" s="77">
        <v>100</v>
      </c>
      <c r="D109" s="388">
        <v>40</v>
      </c>
      <c r="E109" s="391"/>
      <c r="F109" s="15"/>
      <c r="G109" s="229"/>
      <c r="H109" s="14"/>
      <c r="J109" s="13"/>
      <c r="K109" s="13"/>
      <c r="L109" s="13"/>
      <c r="M109" s="13"/>
      <c r="N109" s="13"/>
      <c r="O109" s="13"/>
    </row>
    <row r="110" spans="1:15" x14ac:dyDescent="0.2">
      <c r="A110" s="103" t="s">
        <v>317</v>
      </c>
      <c r="B110" s="100">
        <v>126</v>
      </c>
      <c r="C110" s="77">
        <v>100</v>
      </c>
      <c r="D110" s="388">
        <v>41</v>
      </c>
      <c r="E110" s="391"/>
      <c r="F110" s="15"/>
      <c r="G110" s="229"/>
      <c r="H110" s="14"/>
    </row>
    <row r="111" spans="1:15" x14ac:dyDescent="0.2">
      <c r="A111" s="103" t="s">
        <v>318</v>
      </c>
      <c r="B111" s="100">
        <v>125</v>
      </c>
      <c r="C111" s="77">
        <v>100</v>
      </c>
      <c r="D111" s="388">
        <v>43</v>
      </c>
      <c r="E111" s="391"/>
      <c r="G111" s="229"/>
    </row>
    <row r="112" spans="1:15" x14ac:dyDescent="0.2">
      <c r="A112" s="449" t="s">
        <v>319</v>
      </c>
      <c r="B112" s="450">
        <v>122</v>
      </c>
      <c r="C112" s="451">
        <v>100</v>
      </c>
      <c r="D112" s="452">
        <v>45</v>
      </c>
      <c r="E112" s="391"/>
      <c r="G112" s="229"/>
    </row>
    <row r="113" spans="1:7" ht="13.5" thickBot="1" x14ac:dyDescent="0.25">
      <c r="A113" s="104" t="s">
        <v>320</v>
      </c>
      <c r="B113" s="107">
        <v>118</v>
      </c>
      <c r="C113" s="108">
        <v>100</v>
      </c>
      <c r="D113" s="389">
        <v>50</v>
      </c>
      <c r="E113" s="391"/>
      <c r="G113" s="229"/>
    </row>
    <row r="115" spans="1:7" x14ac:dyDescent="0.2">
      <c r="A115" s="401" t="s">
        <v>255</v>
      </c>
    </row>
    <row r="116" spans="1:7" x14ac:dyDescent="0.2">
      <c r="A116" s="401" t="s">
        <v>762</v>
      </c>
      <c r="B116">
        <v>1</v>
      </c>
      <c r="C116" s="316" t="str">
        <f>CHOOSE($B116,A116,A117,A118)</f>
        <v>Casa aislada</v>
      </c>
    </row>
    <row r="117" spans="1:7" x14ac:dyDescent="0.2">
      <c r="A117" s="826" t="s">
        <v>154</v>
      </c>
    </row>
    <row r="118" spans="1:7" x14ac:dyDescent="0.2">
      <c r="A118" s="402" t="s">
        <v>764</v>
      </c>
    </row>
    <row r="119" spans="1:7" ht="13.5" thickBot="1" x14ac:dyDescent="0.25"/>
    <row r="120" spans="1:7" ht="13.5" thickBot="1" x14ac:dyDescent="0.25">
      <c r="A120" s="405"/>
      <c r="B120" s="406" t="s">
        <v>781</v>
      </c>
      <c r="C120" s="407" t="s">
        <v>782</v>
      </c>
      <c r="D120" s="408" t="s">
        <v>312</v>
      </c>
      <c r="E120" s="421" t="s">
        <v>783</v>
      </c>
    </row>
    <row r="121" spans="1:7" x14ac:dyDescent="0.2">
      <c r="A121" s="409" t="s">
        <v>397</v>
      </c>
      <c r="B121" s="413">
        <f>'Vivienda Objeto'!H109</f>
        <v>117.02153825988168</v>
      </c>
      <c r="C121" s="412">
        <f>'Vivienda Objeto'!H129</f>
        <v>5.6567783763579538</v>
      </c>
      <c r="D121" s="414">
        <f>'Vivienda Objeto'!H118</f>
        <v>22.121796462210543</v>
      </c>
      <c r="E121" s="16">
        <f>SUM(B121:D121)</f>
        <v>144.80011309845017</v>
      </c>
    </row>
    <row r="122" spans="1:7" x14ac:dyDescent="0.2">
      <c r="A122" s="410" t="s">
        <v>511</v>
      </c>
      <c r="B122" s="415">
        <f>'Vivienda Objeto'!L226</f>
        <v>180.03313578443334</v>
      </c>
      <c r="C122" s="416">
        <f>'Vivienda Objeto'!L228</f>
        <v>5.6567783763579538</v>
      </c>
      <c r="D122" s="417">
        <f>'Vivienda Objeto'!L227</f>
        <v>35.113962638429435</v>
      </c>
      <c r="E122" s="16">
        <f>SUM(B122:D122)</f>
        <v>220.80387679922072</v>
      </c>
    </row>
    <row r="123" spans="1:7" ht="13.5" thickBot="1" x14ac:dyDescent="0.25">
      <c r="A123" s="411" t="s">
        <v>780</v>
      </c>
      <c r="B123" s="418">
        <f>'Vivienda Objeto'!L241</f>
        <v>198.03644936287671</v>
      </c>
      <c r="C123" s="419">
        <f>'Vivienda Objeto'!L243</f>
        <v>11.313556752715908</v>
      </c>
      <c r="D123" s="420">
        <f>'Vivienda Objeto'!L242</f>
        <v>38.625358902272382</v>
      </c>
      <c r="E123" s="16">
        <f>SUM(B123:D123)</f>
        <v>247.97536501786499</v>
      </c>
    </row>
    <row r="124" spans="1:7" ht="13.5" thickBot="1" x14ac:dyDescent="0.25"/>
    <row r="125" spans="1:7" ht="13.5" thickBot="1" x14ac:dyDescent="0.25">
      <c r="A125" s="405" t="s">
        <v>784</v>
      </c>
      <c r="B125" s="406" t="s">
        <v>781</v>
      </c>
      <c r="C125" s="407" t="s">
        <v>782</v>
      </c>
      <c r="D125" s="408" t="s">
        <v>312</v>
      </c>
      <c r="E125" s="421" t="s">
        <v>783</v>
      </c>
    </row>
    <row r="126" spans="1:7" x14ac:dyDescent="0.2">
      <c r="A126" s="409" t="s">
        <v>397</v>
      </c>
      <c r="B126" s="413">
        <f t="shared" ref="B126:D128" si="6">100*B121/$E121</f>
        <v>80.81591633862763</v>
      </c>
      <c r="C126" s="412">
        <f t="shared" si="6"/>
        <v>3.9066118494754822</v>
      </c>
      <c r="D126" s="414">
        <f t="shared" si="6"/>
        <v>15.277471811896893</v>
      </c>
      <c r="E126" s="16">
        <f>SUM(B126:D126)</f>
        <v>100</v>
      </c>
    </row>
    <row r="127" spans="1:7" x14ac:dyDescent="0.2">
      <c r="A127" s="410" t="s">
        <v>511</v>
      </c>
      <c r="B127" s="415">
        <f t="shared" si="6"/>
        <v>81.535314684777632</v>
      </c>
      <c r="C127" s="416">
        <f t="shared" si="6"/>
        <v>2.561901746635419</v>
      </c>
      <c r="D127" s="417">
        <f t="shared" si="6"/>
        <v>15.902783568586946</v>
      </c>
      <c r="E127" s="16">
        <f>SUM(B127:D127)</f>
        <v>99.999999999999986</v>
      </c>
    </row>
    <row r="128" spans="1:7" ht="13.5" thickBot="1" x14ac:dyDescent="0.25">
      <c r="A128" s="411" t="s">
        <v>780</v>
      </c>
      <c r="B128" s="418">
        <f t="shared" si="6"/>
        <v>79.861339995853811</v>
      </c>
      <c r="C128" s="419">
        <f t="shared" si="6"/>
        <v>4.5623712467973752</v>
      </c>
      <c r="D128" s="420">
        <f t="shared" si="6"/>
        <v>15.576288757348811</v>
      </c>
      <c r="E128" s="16">
        <f>SUM(B128:D128)</f>
        <v>99.999999999999986</v>
      </c>
    </row>
    <row r="130" spans="1:10" x14ac:dyDescent="0.2">
      <c r="A130" s="423" t="s">
        <v>249</v>
      </c>
      <c r="D130">
        <v>2</v>
      </c>
      <c r="E130" s="316" t="str">
        <f>CHOOSE($D130,D131,D132)</f>
        <v>+</v>
      </c>
    </row>
    <row r="131" spans="1:10" x14ac:dyDescent="0.2">
      <c r="A131" s="423" t="s">
        <v>250</v>
      </c>
      <c r="D131" t="s">
        <v>431</v>
      </c>
    </row>
    <row r="132" spans="1:10" x14ac:dyDescent="0.2">
      <c r="A132" s="423" t="s">
        <v>252</v>
      </c>
      <c r="D132" t="s">
        <v>251</v>
      </c>
    </row>
    <row r="135" spans="1:10" x14ac:dyDescent="0.2">
      <c r="A135" s="6" t="s">
        <v>825</v>
      </c>
    </row>
    <row r="136" spans="1:10" x14ac:dyDescent="0.2">
      <c r="A136" s="454" t="s">
        <v>1119</v>
      </c>
      <c r="D136" s="1">
        <v>1</v>
      </c>
      <c r="F136" s="316" t="str">
        <f>CHOOSE($D136,A136,A137)</f>
        <v>Cálculo Estático de la Demanda</v>
      </c>
      <c r="J136" s="17"/>
    </row>
    <row r="137" spans="1:10" x14ac:dyDescent="0.2">
      <c r="A137" s="454" t="s">
        <v>1120</v>
      </c>
    </row>
    <row r="139" spans="1:10" x14ac:dyDescent="0.2">
      <c r="E139" s="316"/>
    </row>
    <row r="140" spans="1:10" x14ac:dyDescent="0.2">
      <c r="A140" t="s">
        <v>837</v>
      </c>
    </row>
    <row r="141" spans="1:10" x14ac:dyDescent="0.2">
      <c r="A141" t="s">
        <v>831</v>
      </c>
      <c r="D141">
        <v>1</v>
      </c>
      <c r="F141" s="316" t="str">
        <f>CHOOSE($D141,A141,A142)</f>
        <v>No</v>
      </c>
    </row>
    <row r="142" spans="1:10" x14ac:dyDescent="0.2">
      <c r="A142" t="s">
        <v>832</v>
      </c>
    </row>
    <row r="144" spans="1:10" x14ac:dyDescent="0.2">
      <c r="A144" t="s">
        <v>834</v>
      </c>
    </row>
    <row r="145" spans="1:6" x14ac:dyDescent="0.2">
      <c r="A145" t="s">
        <v>831</v>
      </c>
      <c r="D145">
        <v>1</v>
      </c>
      <c r="F145" s="316" t="str">
        <f>CHOOSE($D145,A145,A146)</f>
        <v>No</v>
      </c>
    </row>
    <row r="146" spans="1:6" x14ac:dyDescent="0.2">
      <c r="A146" t="s">
        <v>832</v>
      </c>
    </row>
    <row r="148" spans="1:6" x14ac:dyDescent="0.2">
      <c r="A148" t="s">
        <v>951</v>
      </c>
      <c r="E148">
        <v>30</v>
      </c>
      <c r="F148" t="s">
        <v>374</v>
      </c>
    </row>
    <row r="151" spans="1:6" x14ac:dyDescent="0.2">
      <c r="A151" t="s">
        <v>159</v>
      </c>
    </row>
    <row r="152" spans="1:6" x14ac:dyDescent="0.2">
      <c r="A152" t="s">
        <v>779</v>
      </c>
      <c r="B152">
        <v>0</v>
      </c>
      <c r="D152">
        <v>3</v>
      </c>
      <c r="F152" s="316">
        <f t="shared" ref="F152:F157" si="7">CHOOSE(D152,B$152,B$153,B$154,B$155,B$156)</f>
        <v>0.85</v>
      </c>
    </row>
    <row r="153" spans="1:6" x14ac:dyDescent="0.2">
      <c r="A153" t="s">
        <v>160</v>
      </c>
      <c r="B153" s="1097">
        <v>0.75</v>
      </c>
      <c r="D153">
        <v>1</v>
      </c>
      <c r="F153" s="316">
        <f t="shared" si="7"/>
        <v>0</v>
      </c>
    </row>
    <row r="154" spans="1:6" x14ac:dyDescent="0.2">
      <c r="A154" t="s">
        <v>161</v>
      </c>
      <c r="B154" s="1097">
        <v>0.85</v>
      </c>
      <c r="D154">
        <v>3</v>
      </c>
      <c r="F154" s="316">
        <f t="shared" si="7"/>
        <v>0.85</v>
      </c>
    </row>
    <row r="155" spans="1:6" x14ac:dyDescent="0.2">
      <c r="A155" t="s">
        <v>163</v>
      </c>
      <c r="B155" s="1097">
        <v>0.8</v>
      </c>
      <c r="D155">
        <v>1</v>
      </c>
      <c r="F155" s="316">
        <f t="shared" si="7"/>
        <v>0</v>
      </c>
    </row>
    <row r="156" spans="1:6" x14ac:dyDescent="0.2">
      <c r="A156" t="s">
        <v>162</v>
      </c>
      <c r="B156" s="1097">
        <v>0.8</v>
      </c>
      <c r="D156">
        <v>3</v>
      </c>
      <c r="F156" s="316">
        <f t="shared" si="7"/>
        <v>0.85</v>
      </c>
    </row>
    <row r="157" spans="1:6" x14ac:dyDescent="0.2">
      <c r="D157">
        <v>1</v>
      </c>
      <c r="F157" s="316">
        <f t="shared" si="7"/>
        <v>0</v>
      </c>
    </row>
    <row r="158" spans="1:6" x14ac:dyDescent="0.2">
      <c r="F158" s="316"/>
    </row>
  </sheetData>
  <customSheetViews>
    <customSheetView guid="{2239797F-3020-4364-93B0-F22DAADF645D}" state="hidden" showRuler="0" topLeftCell="A88">
      <selection activeCell="H111" sqref="H111"/>
      <pageMargins left="0.7" right="0.7" top="0.75" bottom="0.75" header="0.3" footer="0.3"/>
      <pageSetup orientation="portrait"/>
      <headerFooter alignWithMargins="0"/>
    </customSheetView>
  </customSheetViews>
  <mergeCells count="1">
    <mergeCell ref="F105:H105"/>
  </mergeCells>
  <phoneticPr fontId="7" type="noConversion"/>
  <pageMargins left="0.75" right="0.75" top="1" bottom="1" header="0" footer="0"/>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dimension ref="A1:H92"/>
  <sheetViews>
    <sheetView zoomScale="90" zoomScaleNormal="90" workbookViewId="0">
      <selection activeCell="A64" sqref="A64"/>
    </sheetView>
  </sheetViews>
  <sheetFormatPr baseColWidth="10" defaultRowHeight="12.75" x14ac:dyDescent="0.2"/>
  <cols>
    <col min="1" max="1" width="72.42578125" customWidth="1"/>
    <col min="2" max="2" width="16.42578125" customWidth="1"/>
  </cols>
  <sheetData>
    <row r="1" spans="1:8" x14ac:dyDescent="0.2">
      <c r="A1" t="s">
        <v>351</v>
      </c>
      <c r="D1" s="830" t="s">
        <v>11</v>
      </c>
      <c r="H1" s="831">
        <v>2</v>
      </c>
    </row>
    <row r="2" spans="1:8" x14ac:dyDescent="0.2">
      <c r="A2" t="s">
        <v>352</v>
      </c>
    </row>
    <row r="3" spans="1:8" x14ac:dyDescent="0.2">
      <c r="A3" t="s">
        <v>439</v>
      </c>
    </row>
    <row r="4" spans="1:8" x14ac:dyDescent="0.2">
      <c r="A4" t="s">
        <v>342</v>
      </c>
      <c r="B4">
        <v>0.65</v>
      </c>
      <c r="C4" s="42">
        <v>1</v>
      </c>
      <c r="D4" s="20">
        <f>CHOOSE(C4,B4,B5,B6,B7,B8,B9,B10,B11,B12,B13,B14,B15, B16,B17,B18,B19,B20,B21,B22)</f>
        <v>0.65</v>
      </c>
    </row>
    <row r="5" spans="1:8" x14ac:dyDescent="0.2">
      <c r="A5" t="s">
        <v>440</v>
      </c>
      <c r="B5">
        <v>0.70499999999999996</v>
      </c>
    </row>
    <row r="6" spans="1:8" x14ac:dyDescent="0.2">
      <c r="A6" t="s">
        <v>441</v>
      </c>
      <c r="B6">
        <v>0.745</v>
      </c>
    </row>
    <row r="7" spans="1:8" x14ac:dyDescent="0.2">
      <c r="A7" t="s">
        <v>442</v>
      </c>
      <c r="B7">
        <v>0.71</v>
      </c>
    </row>
    <row r="8" spans="1:8" x14ac:dyDescent="0.2">
      <c r="A8" t="s">
        <v>443</v>
      </c>
      <c r="B8">
        <v>0.75</v>
      </c>
    </row>
    <row r="9" spans="1:8" x14ac:dyDescent="0.2">
      <c r="A9" t="s">
        <v>444</v>
      </c>
      <c r="B9">
        <v>0.85299999999999998</v>
      </c>
    </row>
    <row r="10" spans="1:8" x14ac:dyDescent="0.2">
      <c r="A10" t="s">
        <v>445</v>
      </c>
      <c r="B10">
        <v>0.8</v>
      </c>
    </row>
    <row r="11" spans="1:8" x14ac:dyDescent="0.2">
      <c r="A11" t="s">
        <v>446</v>
      </c>
      <c r="B11">
        <v>0.6</v>
      </c>
    </row>
    <row r="12" spans="1:8" x14ac:dyDescent="0.2">
      <c r="A12" t="s">
        <v>447</v>
      </c>
      <c r="B12">
        <v>0.62</v>
      </c>
    </row>
    <row r="13" spans="1:8" x14ac:dyDescent="0.2">
      <c r="A13" t="s">
        <v>448</v>
      </c>
      <c r="B13">
        <v>0.52</v>
      </c>
    </row>
    <row r="14" spans="1:8" x14ac:dyDescent="0.2">
      <c r="A14" t="s">
        <v>449</v>
      </c>
      <c r="B14">
        <v>0.6</v>
      </c>
    </row>
    <row r="15" spans="1:8" x14ac:dyDescent="0.2">
      <c r="A15" s="1069" t="s">
        <v>1216</v>
      </c>
      <c r="B15" s="1067">
        <v>0.65</v>
      </c>
    </row>
    <row r="16" spans="1:8" x14ac:dyDescent="0.2">
      <c r="A16" t="s">
        <v>459</v>
      </c>
      <c r="B16">
        <v>3.6</v>
      </c>
    </row>
    <row r="17" spans="1:4" x14ac:dyDescent="0.2">
      <c r="A17" t="s">
        <v>460</v>
      </c>
      <c r="B17">
        <v>3.4</v>
      </c>
    </row>
    <row r="18" spans="1:4" x14ac:dyDescent="0.2">
      <c r="A18" t="s">
        <v>461</v>
      </c>
      <c r="B18">
        <v>2.6</v>
      </c>
    </row>
    <row r="24" spans="1:4" x14ac:dyDescent="0.2">
      <c r="A24" t="s">
        <v>345</v>
      </c>
    </row>
    <row r="25" spans="1:4" x14ac:dyDescent="0.2">
      <c r="A25" t="s">
        <v>353</v>
      </c>
      <c r="B25">
        <v>1</v>
      </c>
      <c r="C25" s="42">
        <v>4</v>
      </c>
      <c r="D25" s="1066">
        <f>CHOOSE(C25,B25,B26,B27,B28)</f>
        <v>1</v>
      </c>
    </row>
    <row r="26" spans="1:4" x14ac:dyDescent="0.2">
      <c r="A26" t="s">
        <v>571</v>
      </c>
      <c r="B26">
        <v>0.97</v>
      </c>
    </row>
    <row r="27" spans="1:4" x14ac:dyDescent="0.2">
      <c r="A27" t="s">
        <v>354</v>
      </c>
      <c r="B27">
        <v>0.95</v>
      </c>
    </row>
    <row r="28" spans="1:4" x14ac:dyDescent="0.2">
      <c r="A28" s="1067" t="s">
        <v>1198</v>
      </c>
      <c r="B28" s="1067">
        <v>1</v>
      </c>
    </row>
    <row r="30" spans="1:4" x14ac:dyDescent="0.2">
      <c r="A30" t="s">
        <v>346</v>
      </c>
    </row>
    <row r="31" spans="1:4" x14ac:dyDescent="0.2">
      <c r="A31" s="1068" t="s">
        <v>1203</v>
      </c>
      <c r="B31">
        <v>1</v>
      </c>
      <c r="C31" s="42">
        <v>3</v>
      </c>
      <c r="D31" s="1074">
        <f>CHOOSE(C31,B31,B32,B33)</f>
        <v>1</v>
      </c>
    </row>
    <row r="32" spans="1:4" x14ac:dyDescent="0.2">
      <c r="A32" t="s">
        <v>572</v>
      </c>
      <c r="B32">
        <v>0.8</v>
      </c>
    </row>
    <row r="33" spans="1:6" x14ac:dyDescent="0.2">
      <c r="A33" s="1072" t="s">
        <v>1204</v>
      </c>
      <c r="B33" s="1073">
        <v>1</v>
      </c>
    </row>
    <row r="34" spans="1:6" x14ac:dyDescent="0.2">
      <c r="A34" t="s">
        <v>356</v>
      </c>
      <c r="B34" t="s">
        <v>362</v>
      </c>
    </row>
    <row r="35" spans="1:6" x14ac:dyDescent="0.2">
      <c r="A35" t="s">
        <v>357</v>
      </c>
      <c r="B35" s="16">
        <f>H1</f>
        <v>2</v>
      </c>
      <c r="C35" s="42">
        <v>4</v>
      </c>
      <c r="D35" s="20">
        <f>CHOOSE(C35,B35,B36,B37,B38,B39,B40,B41,B42)</f>
        <v>1.1000000000000001</v>
      </c>
      <c r="E35">
        <v>0.307</v>
      </c>
      <c r="F35" s="39">
        <f>CHOOSE(C35,E35,E36,E37,E38,E39,E40,E41,E42,E43)</f>
        <v>0.22800000000000001</v>
      </c>
    </row>
    <row r="36" spans="1:6" x14ac:dyDescent="0.2">
      <c r="A36" t="s">
        <v>358</v>
      </c>
      <c r="B36">
        <v>1.1000000000000001</v>
      </c>
      <c r="E36" s="38">
        <v>0.24</v>
      </c>
    </row>
    <row r="37" spans="1:6" x14ac:dyDescent="0.2">
      <c r="A37" t="s">
        <v>359</v>
      </c>
      <c r="B37">
        <v>1.1000000000000001</v>
      </c>
      <c r="E37">
        <v>0.20200000000000001</v>
      </c>
    </row>
    <row r="38" spans="1:6" x14ac:dyDescent="0.2">
      <c r="A38" t="s">
        <v>360</v>
      </c>
      <c r="B38">
        <v>1.1000000000000001</v>
      </c>
      <c r="E38">
        <v>0.22800000000000001</v>
      </c>
    </row>
    <row r="39" spans="1:6" x14ac:dyDescent="0.2">
      <c r="A39" t="s">
        <v>361</v>
      </c>
      <c r="B39">
        <v>1.1000000000000001</v>
      </c>
      <c r="E39">
        <v>0.26</v>
      </c>
    </row>
    <row r="40" spans="1:6" x14ac:dyDescent="0.2">
      <c r="A40" t="s">
        <v>363</v>
      </c>
      <c r="B40">
        <v>1.1000000000000001</v>
      </c>
      <c r="E40">
        <v>0.43</v>
      </c>
    </row>
    <row r="41" spans="1:6" x14ac:dyDescent="0.2">
      <c r="A41" t="s">
        <v>364</v>
      </c>
      <c r="B41">
        <v>1.1000000000000001</v>
      </c>
      <c r="E41">
        <v>0.43</v>
      </c>
    </row>
    <row r="42" spans="1:6" x14ac:dyDescent="0.2">
      <c r="A42" t="s">
        <v>365</v>
      </c>
      <c r="B42">
        <v>1.1000000000000001</v>
      </c>
      <c r="E42" s="38">
        <v>0.5</v>
      </c>
    </row>
    <row r="46" spans="1:6" x14ac:dyDescent="0.2">
      <c r="A46" s="27" t="s">
        <v>366</v>
      </c>
      <c r="B46" s="27"/>
      <c r="C46" s="27"/>
      <c r="D46" s="27"/>
      <c r="E46" s="27"/>
    </row>
    <row r="47" spans="1:6" x14ac:dyDescent="0.2">
      <c r="A47" t="s">
        <v>356</v>
      </c>
      <c r="B47" t="s">
        <v>362</v>
      </c>
    </row>
    <row r="48" spans="1:6" x14ac:dyDescent="0.2">
      <c r="A48" t="s">
        <v>357</v>
      </c>
      <c r="B48" s="16">
        <f>H1</f>
        <v>2</v>
      </c>
      <c r="C48" s="42">
        <v>4</v>
      </c>
      <c r="D48" s="20">
        <f>CHOOSE(C48,B48,B49,B50,B51,B52,B53,B54,B55)</f>
        <v>1.1000000000000001</v>
      </c>
      <c r="E48">
        <v>0.307</v>
      </c>
      <c r="F48" s="39">
        <f>CHOOSE(C48,E48,E49,E50,E51,E52,E53,E54,E55,E56)</f>
        <v>0.22800000000000001</v>
      </c>
    </row>
    <row r="49" spans="1:5" x14ac:dyDescent="0.2">
      <c r="A49" t="s">
        <v>358</v>
      </c>
      <c r="B49">
        <v>1.1000000000000001</v>
      </c>
      <c r="E49" s="38">
        <v>0.24</v>
      </c>
    </row>
    <row r="50" spans="1:5" x14ac:dyDescent="0.2">
      <c r="A50" t="s">
        <v>359</v>
      </c>
      <c r="B50">
        <v>1.1000000000000001</v>
      </c>
      <c r="E50">
        <v>0.20200000000000001</v>
      </c>
    </row>
    <row r="51" spans="1:5" x14ac:dyDescent="0.2">
      <c r="A51" t="s">
        <v>360</v>
      </c>
      <c r="B51">
        <v>1.1000000000000001</v>
      </c>
      <c r="E51">
        <v>0.22800000000000001</v>
      </c>
    </row>
    <row r="52" spans="1:5" x14ac:dyDescent="0.2">
      <c r="A52" t="s">
        <v>361</v>
      </c>
      <c r="B52">
        <v>1.1000000000000001</v>
      </c>
      <c r="E52">
        <v>0.26</v>
      </c>
    </row>
    <row r="53" spans="1:5" x14ac:dyDescent="0.2">
      <c r="A53" t="s">
        <v>363</v>
      </c>
      <c r="B53">
        <v>1.1000000000000001</v>
      </c>
      <c r="E53">
        <v>0</v>
      </c>
    </row>
    <row r="54" spans="1:5" x14ac:dyDescent="0.2">
      <c r="A54" t="s">
        <v>364</v>
      </c>
      <c r="B54">
        <v>1.1000000000000001</v>
      </c>
      <c r="E54">
        <v>0</v>
      </c>
    </row>
    <row r="55" spans="1:5" x14ac:dyDescent="0.2">
      <c r="A55" t="s">
        <v>365</v>
      </c>
      <c r="B55">
        <v>1.1000000000000001</v>
      </c>
      <c r="E55" s="38">
        <v>0.5</v>
      </c>
    </row>
    <row r="59" spans="1:5" x14ac:dyDescent="0.2">
      <c r="A59" t="s">
        <v>344</v>
      </c>
    </row>
    <row r="60" spans="1:5" x14ac:dyDescent="0.2">
      <c r="A60" t="s">
        <v>429</v>
      </c>
      <c r="B60">
        <v>0.7</v>
      </c>
      <c r="C60" s="42">
        <v>2</v>
      </c>
      <c r="D60" s="20">
        <f>CHOOSE(C60,B60,B61,B62,B63,B64,B65,B66,B67)</f>
        <v>0.7</v>
      </c>
    </row>
    <row r="61" spans="1:5" x14ac:dyDescent="0.2">
      <c r="A61" t="s">
        <v>462</v>
      </c>
      <c r="B61">
        <v>0.7</v>
      </c>
    </row>
    <row r="62" spans="1:5" x14ac:dyDescent="0.2">
      <c r="A62" t="s">
        <v>463</v>
      </c>
      <c r="B62">
        <v>1</v>
      </c>
    </row>
    <row r="63" spans="1:5" x14ac:dyDescent="0.2">
      <c r="A63" t="s">
        <v>464</v>
      </c>
      <c r="B63">
        <v>1</v>
      </c>
    </row>
    <row r="64" spans="1:5" x14ac:dyDescent="0.2">
      <c r="A64" s="1069" t="s">
        <v>1222</v>
      </c>
      <c r="B64">
        <v>0.7</v>
      </c>
    </row>
    <row r="65" spans="1:4" x14ac:dyDescent="0.2">
      <c r="A65" t="s">
        <v>465</v>
      </c>
      <c r="B65">
        <v>3.6</v>
      </c>
    </row>
    <row r="66" spans="1:4" x14ac:dyDescent="0.2">
      <c r="A66" t="s">
        <v>466</v>
      </c>
      <c r="B66">
        <v>3.4</v>
      </c>
    </row>
    <row r="67" spans="1:4" x14ac:dyDescent="0.2">
      <c r="A67" t="s">
        <v>467</v>
      </c>
      <c r="B67">
        <v>2.6</v>
      </c>
    </row>
    <row r="70" spans="1:4" x14ac:dyDescent="0.2">
      <c r="A70" t="s">
        <v>345</v>
      </c>
    </row>
    <row r="71" spans="1:4" x14ac:dyDescent="0.2">
      <c r="A71" t="s">
        <v>608</v>
      </c>
      <c r="B71">
        <v>1</v>
      </c>
      <c r="C71" s="42">
        <v>2</v>
      </c>
      <c r="D71" s="20">
        <f>CHOOSE(C71,B71,B72,B73)</f>
        <v>0.9</v>
      </c>
    </row>
    <row r="72" spans="1:4" x14ac:dyDescent="0.2">
      <c r="A72" t="s">
        <v>607</v>
      </c>
      <c r="B72">
        <v>0.9</v>
      </c>
    </row>
    <row r="73" spans="1:4" x14ac:dyDescent="0.2">
      <c r="A73" s="1069" t="s">
        <v>1219</v>
      </c>
      <c r="B73" s="1067">
        <v>1</v>
      </c>
    </row>
    <row r="76" spans="1:4" x14ac:dyDescent="0.2">
      <c r="A76" t="s">
        <v>346</v>
      </c>
    </row>
    <row r="77" spans="1:4" x14ac:dyDescent="0.2">
      <c r="A77" t="s">
        <v>367</v>
      </c>
      <c r="B77">
        <v>0.92</v>
      </c>
      <c r="C77" s="42">
        <v>2</v>
      </c>
      <c r="D77" s="20">
        <f>CHOOSE(C77,B77,B78)</f>
        <v>1</v>
      </c>
    </row>
    <row r="78" spans="1:4" x14ac:dyDescent="0.2">
      <c r="A78" t="s">
        <v>368</v>
      </c>
      <c r="B78">
        <v>1</v>
      </c>
    </row>
    <row r="81" spans="2:4" x14ac:dyDescent="0.2">
      <c r="B81" t="s">
        <v>611</v>
      </c>
      <c r="C81">
        <f>'Vivienda Objeto'!H117</f>
        <v>2456.6254971284807</v>
      </c>
      <c r="D81" t="s">
        <v>375</v>
      </c>
    </row>
    <row r="82" spans="2:4" x14ac:dyDescent="0.2">
      <c r="B82" t="s">
        <v>612</v>
      </c>
      <c r="C82" s="16">
        <f>'Vivienda Objeto'!N190</f>
        <v>0</v>
      </c>
    </row>
    <row r="84" spans="2:4" x14ac:dyDescent="0.2">
      <c r="B84" t="s">
        <v>613</v>
      </c>
      <c r="C84" s="16">
        <f>'Vivienda Objeto'!N185</f>
        <v>0.7</v>
      </c>
    </row>
    <row r="85" spans="2:4" x14ac:dyDescent="0.2">
      <c r="B85" t="s">
        <v>614</v>
      </c>
      <c r="C85">
        <f>'Vivienda Objeto'!N194</f>
        <v>0</v>
      </c>
    </row>
    <row r="86" spans="2:4" x14ac:dyDescent="0.2">
      <c r="B86" t="s">
        <v>615</v>
      </c>
      <c r="C86">
        <f>IF(C85=0,C84,C85)</f>
        <v>0.7</v>
      </c>
    </row>
    <row r="88" spans="2:4" x14ac:dyDescent="0.2">
      <c r="B88" t="s">
        <v>616</v>
      </c>
      <c r="C88" s="16">
        <f>'Vivienda Objeto'!N188</f>
        <v>0.9</v>
      </c>
    </row>
    <row r="89" spans="2:4" x14ac:dyDescent="0.2">
      <c r="B89" t="s">
        <v>618</v>
      </c>
      <c r="C89">
        <f>C86*C88</f>
        <v>0.63</v>
      </c>
    </row>
    <row r="91" spans="2:4" x14ac:dyDescent="0.2">
      <c r="B91" t="s">
        <v>610</v>
      </c>
      <c r="C91">
        <f>(C81+C82)/C89</f>
        <v>3899.4055509975883</v>
      </c>
    </row>
    <row r="92" spans="2:4" x14ac:dyDescent="0.2">
      <c r="B92" t="s">
        <v>617</v>
      </c>
      <c r="C92">
        <f>C81/C91</f>
        <v>0.63</v>
      </c>
    </row>
  </sheetData>
  <customSheetViews>
    <customSheetView guid="{2239797F-3020-4364-93B0-F22DAADF645D}" scale="120" state="hidden" showRuler="0" topLeftCell="A65">
      <selection activeCell="C90" sqref="C90"/>
      <pageMargins left="0.7" right="0.7" top="0.75" bottom="0.75" header="0.3" footer="0.3"/>
      <pageSetup orientation="portrait"/>
      <headerFooter alignWithMargins="0"/>
    </customSheetView>
  </customSheetViews>
  <phoneticPr fontId="7" type="noConversion"/>
  <pageMargins left="0.75" right="0.75" top="1" bottom="1" header="0" footer="0"/>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2:Y28"/>
  <sheetViews>
    <sheetView workbookViewId="0">
      <selection activeCell="E20" sqref="E20"/>
    </sheetView>
  </sheetViews>
  <sheetFormatPr baseColWidth="10" defaultRowHeight="12.75" x14ac:dyDescent="0.2"/>
  <cols>
    <col min="1" max="1" width="9.42578125" customWidth="1"/>
    <col min="2" max="2" width="7" customWidth="1"/>
    <col min="3" max="3" width="7.42578125" customWidth="1"/>
    <col min="6" max="7" width="5.140625" customWidth="1"/>
    <col min="8" max="8" width="3.42578125" customWidth="1"/>
    <col min="9" max="10" width="5" customWidth="1"/>
    <col min="11" max="11" width="3.5703125" customWidth="1"/>
    <col min="12" max="13" width="5" customWidth="1"/>
    <col min="14" max="14" width="3.42578125" customWidth="1"/>
    <col min="15" max="16" width="5.140625" customWidth="1"/>
    <col min="17" max="17" width="2.5703125" customWidth="1"/>
    <col min="18" max="19" width="4.42578125" customWidth="1"/>
    <col min="20" max="20" width="3.140625" customWidth="1"/>
    <col min="21" max="22" width="4.5703125" customWidth="1"/>
    <col min="23" max="23" width="3.42578125" customWidth="1"/>
    <col min="24" max="25" width="4.140625" customWidth="1"/>
  </cols>
  <sheetData>
    <row r="2" spans="1:25" x14ac:dyDescent="0.2">
      <c r="A2" t="s">
        <v>396</v>
      </c>
      <c r="E2" t="s">
        <v>510</v>
      </c>
    </row>
    <row r="3" spans="1:25" x14ac:dyDescent="0.2">
      <c r="E3">
        <f>'R1'!J2</f>
        <v>3</v>
      </c>
    </row>
    <row r="4" spans="1:25" ht="13.5" thickBot="1" x14ac:dyDescent="0.25">
      <c r="A4" t="s">
        <v>397</v>
      </c>
      <c r="F4">
        <v>1</v>
      </c>
      <c r="G4">
        <v>1</v>
      </c>
      <c r="I4">
        <v>2</v>
      </c>
      <c r="J4">
        <v>2</v>
      </c>
      <c r="L4">
        <v>3</v>
      </c>
      <c r="M4">
        <v>3</v>
      </c>
      <c r="O4">
        <v>4</v>
      </c>
      <c r="P4">
        <v>4</v>
      </c>
      <c r="R4">
        <v>5</v>
      </c>
      <c r="S4">
        <v>5</v>
      </c>
      <c r="U4">
        <v>6</v>
      </c>
      <c r="V4">
        <v>6</v>
      </c>
      <c r="X4">
        <v>7</v>
      </c>
      <c r="Y4">
        <v>7</v>
      </c>
    </row>
    <row r="5" spans="1:25" x14ac:dyDescent="0.2">
      <c r="A5" s="29" t="s">
        <v>336</v>
      </c>
      <c r="B5" s="30">
        <f>CHOOSE($E$3,F5,I5,L5,O5,R5,U5,X5)</f>
        <v>0</v>
      </c>
      <c r="C5" s="30">
        <f>CHOOSE($E$3,G5,J5,M5,P5,S5,V5,Y5)</f>
        <v>40</v>
      </c>
      <c r="F5">
        <v>0</v>
      </c>
      <c r="G5">
        <v>30</v>
      </c>
      <c r="I5">
        <v>0</v>
      </c>
      <c r="J5">
        <v>30</v>
      </c>
      <c r="L5">
        <v>0</v>
      </c>
      <c r="M5">
        <v>40</v>
      </c>
      <c r="O5">
        <v>0</v>
      </c>
      <c r="P5">
        <v>40</v>
      </c>
      <c r="R5">
        <v>0</v>
      </c>
      <c r="S5">
        <v>40</v>
      </c>
      <c r="U5">
        <v>0</v>
      </c>
      <c r="V5">
        <v>55</v>
      </c>
      <c r="X5">
        <v>0</v>
      </c>
      <c r="Y5">
        <v>55</v>
      </c>
    </row>
    <row r="6" spans="1:25" x14ac:dyDescent="0.2">
      <c r="A6" s="32" t="s">
        <v>337</v>
      </c>
      <c r="B6" s="4">
        <f t="shared" ref="B6:B11" si="0">CHOOSE($E$3,F6,I6,L6,O6,R6,U6,X6)</f>
        <v>40</v>
      </c>
      <c r="C6" s="33">
        <f t="shared" ref="C6:C11" si="1">CHOOSE($E$3,G6,J6,M6,P6,S6,V6,Y6)</f>
        <v>50</v>
      </c>
      <c r="F6">
        <v>30</v>
      </c>
      <c r="G6">
        <v>40</v>
      </c>
      <c r="I6">
        <v>30</v>
      </c>
      <c r="J6">
        <v>40</v>
      </c>
      <c r="L6">
        <v>40</v>
      </c>
      <c r="M6">
        <v>50</v>
      </c>
      <c r="O6">
        <v>40</v>
      </c>
      <c r="P6">
        <v>50</v>
      </c>
      <c r="R6">
        <v>40</v>
      </c>
      <c r="S6">
        <v>50</v>
      </c>
      <c r="U6">
        <v>55</v>
      </c>
      <c r="V6">
        <v>65</v>
      </c>
      <c r="X6">
        <v>55</v>
      </c>
      <c r="Y6">
        <v>65</v>
      </c>
    </row>
    <row r="7" spans="1:25" x14ac:dyDescent="0.2">
      <c r="A7" s="32" t="s">
        <v>338</v>
      </c>
      <c r="B7" s="4">
        <f t="shared" si="0"/>
        <v>50</v>
      </c>
      <c r="C7" s="33">
        <f t="shared" si="1"/>
        <v>65</v>
      </c>
      <c r="F7">
        <v>40</v>
      </c>
      <c r="G7">
        <v>55</v>
      </c>
      <c r="I7">
        <v>40</v>
      </c>
      <c r="J7">
        <v>55</v>
      </c>
      <c r="L7">
        <v>50</v>
      </c>
      <c r="M7">
        <v>65</v>
      </c>
      <c r="O7">
        <v>50</v>
      </c>
      <c r="P7">
        <v>65</v>
      </c>
      <c r="R7">
        <v>50</v>
      </c>
      <c r="S7">
        <v>65</v>
      </c>
      <c r="U7">
        <v>65</v>
      </c>
      <c r="V7">
        <v>85</v>
      </c>
      <c r="X7">
        <v>65</v>
      </c>
      <c r="Y7">
        <v>85</v>
      </c>
    </row>
    <row r="8" spans="1:25" x14ac:dyDescent="0.2">
      <c r="A8" s="32" t="s">
        <v>339</v>
      </c>
      <c r="B8" s="4">
        <f t="shared" si="0"/>
        <v>65</v>
      </c>
      <c r="C8" s="33">
        <f t="shared" si="1"/>
        <v>85</v>
      </c>
      <c r="F8">
        <v>55</v>
      </c>
      <c r="G8">
        <v>75</v>
      </c>
      <c r="I8">
        <v>55</v>
      </c>
      <c r="J8">
        <v>75</v>
      </c>
      <c r="L8">
        <v>65</v>
      </c>
      <c r="M8">
        <v>85</v>
      </c>
      <c r="O8">
        <v>65</v>
      </c>
      <c r="P8">
        <v>85</v>
      </c>
      <c r="R8">
        <v>65</v>
      </c>
      <c r="S8">
        <v>85</v>
      </c>
      <c r="U8">
        <v>85</v>
      </c>
      <c r="V8">
        <v>95</v>
      </c>
      <c r="X8">
        <v>85</v>
      </c>
      <c r="Y8">
        <v>95</v>
      </c>
    </row>
    <row r="9" spans="1:25" x14ac:dyDescent="0.2">
      <c r="A9" s="32" t="s">
        <v>340</v>
      </c>
      <c r="B9" s="4">
        <f t="shared" si="0"/>
        <v>85</v>
      </c>
      <c r="C9" s="33">
        <f t="shared" si="1"/>
        <v>110</v>
      </c>
      <c r="F9">
        <v>75</v>
      </c>
      <c r="G9">
        <v>110</v>
      </c>
      <c r="I9">
        <v>75</v>
      </c>
      <c r="J9">
        <v>110</v>
      </c>
      <c r="L9">
        <v>85</v>
      </c>
      <c r="M9">
        <v>110</v>
      </c>
      <c r="O9">
        <v>85</v>
      </c>
      <c r="P9">
        <v>110</v>
      </c>
      <c r="R9">
        <v>85</v>
      </c>
      <c r="S9">
        <v>110</v>
      </c>
      <c r="U9">
        <v>95</v>
      </c>
      <c r="V9">
        <v>110</v>
      </c>
      <c r="X9">
        <v>95</v>
      </c>
      <c r="Y9">
        <v>110</v>
      </c>
    </row>
    <row r="10" spans="1:25" x14ac:dyDescent="0.2">
      <c r="A10" s="32" t="s">
        <v>398</v>
      </c>
      <c r="B10" s="4">
        <f t="shared" si="0"/>
        <v>110</v>
      </c>
      <c r="C10" s="33">
        <f t="shared" si="1"/>
        <v>135</v>
      </c>
      <c r="F10">
        <v>110</v>
      </c>
      <c r="G10">
        <v>135</v>
      </c>
      <c r="I10">
        <v>110</v>
      </c>
      <c r="J10">
        <v>135</v>
      </c>
      <c r="L10">
        <v>110</v>
      </c>
      <c r="M10">
        <v>135</v>
      </c>
      <c r="O10">
        <v>110</v>
      </c>
      <c r="P10">
        <v>135</v>
      </c>
      <c r="R10">
        <v>110</v>
      </c>
      <c r="S10">
        <v>135</v>
      </c>
      <c r="U10">
        <v>110</v>
      </c>
      <c r="V10">
        <v>135</v>
      </c>
      <c r="X10">
        <v>110</v>
      </c>
      <c r="Y10">
        <v>135</v>
      </c>
    </row>
    <row r="11" spans="1:25" ht="13.5" thickBot="1" x14ac:dyDescent="0.25">
      <c r="A11" s="34" t="s">
        <v>399</v>
      </c>
      <c r="B11" s="35">
        <f t="shared" si="0"/>
        <v>135</v>
      </c>
      <c r="C11" s="36">
        <f t="shared" si="1"/>
        <v>500</v>
      </c>
      <c r="F11">
        <v>135</v>
      </c>
      <c r="G11">
        <v>500</v>
      </c>
      <c r="I11">
        <v>135</v>
      </c>
      <c r="J11">
        <v>500</v>
      </c>
      <c r="L11">
        <v>135</v>
      </c>
      <c r="M11">
        <v>500</v>
      </c>
      <c r="O11">
        <v>135</v>
      </c>
      <c r="P11">
        <v>500</v>
      </c>
      <c r="R11">
        <v>135</v>
      </c>
      <c r="S11">
        <v>500</v>
      </c>
      <c r="U11">
        <v>135</v>
      </c>
      <c r="V11">
        <v>500</v>
      </c>
      <c r="X11">
        <v>135</v>
      </c>
      <c r="Y11">
        <v>500</v>
      </c>
    </row>
    <row r="13" spans="1:25" ht="13.5" thickBot="1" x14ac:dyDescent="0.25">
      <c r="A13" t="s">
        <v>511</v>
      </c>
    </row>
    <row r="14" spans="1:25" x14ac:dyDescent="0.2">
      <c r="A14" s="29" t="s">
        <v>336</v>
      </c>
      <c r="B14" s="30">
        <v>0</v>
      </c>
      <c r="C14" s="31">
        <v>30</v>
      </c>
    </row>
    <row r="15" spans="1:25" x14ac:dyDescent="0.2">
      <c r="A15" s="32" t="s">
        <v>337</v>
      </c>
      <c r="B15" s="4">
        <v>30</v>
      </c>
      <c r="C15" s="33">
        <v>45</v>
      </c>
    </row>
    <row r="16" spans="1:25" x14ac:dyDescent="0.2">
      <c r="A16" s="32" t="s">
        <v>338</v>
      </c>
      <c r="B16" s="4">
        <v>45</v>
      </c>
      <c r="C16" s="33">
        <v>60</v>
      </c>
    </row>
    <row r="17" spans="1:16" x14ac:dyDescent="0.2">
      <c r="A17" s="32" t="s">
        <v>339</v>
      </c>
      <c r="B17" s="4">
        <v>60</v>
      </c>
      <c r="C17" s="33">
        <v>80</v>
      </c>
      <c r="E17" s="22"/>
      <c r="F17" s="22"/>
      <c r="G17" s="22"/>
      <c r="H17" s="22"/>
      <c r="I17" s="22"/>
      <c r="J17" s="22"/>
      <c r="K17" s="22"/>
      <c r="L17" s="22"/>
      <c r="M17" s="22"/>
      <c r="N17" s="22"/>
      <c r="O17" s="22"/>
      <c r="P17" s="22"/>
    </row>
    <row r="18" spans="1:16" x14ac:dyDescent="0.2">
      <c r="A18" s="32" t="s">
        <v>340</v>
      </c>
      <c r="B18" s="4">
        <v>80</v>
      </c>
      <c r="C18" s="33">
        <v>110</v>
      </c>
      <c r="E18" s="22"/>
      <c r="F18" s="22"/>
      <c r="G18" s="22"/>
      <c r="H18" s="22"/>
      <c r="I18" s="22"/>
      <c r="J18" s="22"/>
      <c r="K18" s="22"/>
      <c r="L18" s="22"/>
      <c r="M18" s="22"/>
      <c r="N18" s="22"/>
      <c r="O18" s="22"/>
      <c r="P18" s="22"/>
    </row>
    <row r="19" spans="1:16" x14ac:dyDescent="0.2">
      <c r="A19" s="32" t="s">
        <v>398</v>
      </c>
      <c r="B19" s="4">
        <v>110</v>
      </c>
      <c r="C19" s="33">
        <v>135</v>
      </c>
      <c r="E19" s="22"/>
      <c r="F19" s="22"/>
      <c r="G19" s="22"/>
      <c r="H19" s="22"/>
      <c r="I19" s="22"/>
      <c r="J19" s="22"/>
      <c r="K19" s="22"/>
      <c r="L19" s="22"/>
      <c r="M19" s="22"/>
      <c r="N19" s="22"/>
      <c r="O19" s="22"/>
      <c r="P19" s="22"/>
    </row>
    <row r="20" spans="1:16" ht="13.5" thickBot="1" x14ac:dyDescent="0.25">
      <c r="A20" s="34" t="s">
        <v>399</v>
      </c>
      <c r="B20" s="35">
        <v>135</v>
      </c>
      <c r="C20" s="36">
        <v>500</v>
      </c>
      <c r="E20" s="22"/>
      <c r="F20" s="22"/>
      <c r="G20" s="154"/>
      <c r="H20" s="155"/>
      <c r="I20" s="155"/>
      <c r="J20" s="155"/>
      <c r="K20" s="155"/>
      <c r="L20" s="155"/>
      <c r="M20" s="155"/>
      <c r="N20" s="155"/>
      <c r="O20" s="22"/>
      <c r="P20" s="22"/>
    </row>
    <row r="21" spans="1:16" x14ac:dyDescent="0.2">
      <c r="E21" s="22"/>
      <c r="F21" s="22"/>
      <c r="G21" s="156"/>
      <c r="H21" s="157"/>
      <c r="I21" s="157"/>
      <c r="J21" s="157"/>
      <c r="K21" s="157"/>
      <c r="L21" s="157"/>
      <c r="M21" s="157"/>
      <c r="N21" s="157"/>
      <c r="O21" s="22"/>
      <c r="P21" s="22"/>
    </row>
    <row r="22" spans="1:16" x14ac:dyDescent="0.2">
      <c r="E22" s="22"/>
      <c r="F22" s="22"/>
      <c r="G22" s="156"/>
      <c r="H22" s="157"/>
      <c r="I22" s="157"/>
      <c r="J22" s="157"/>
      <c r="K22" s="157"/>
      <c r="L22" s="157"/>
      <c r="M22" s="157"/>
      <c r="N22" s="157"/>
      <c r="O22" s="22"/>
      <c r="P22" s="22"/>
    </row>
    <row r="23" spans="1:16" x14ac:dyDescent="0.2">
      <c r="E23" s="22"/>
      <c r="F23" s="22"/>
      <c r="G23" s="156"/>
      <c r="H23" s="157"/>
      <c r="I23" s="157"/>
      <c r="J23" s="157"/>
      <c r="K23" s="157"/>
      <c r="L23" s="157"/>
      <c r="M23" s="157"/>
      <c r="N23" s="157"/>
      <c r="O23" s="22"/>
      <c r="P23" s="22"/>
    </row>
    <row r="24" spans="1:16" x14ac:dyDescent="0.2">
      <c r="E24" s="22"/>
      <c r="F24" s="22"/>
      <c r="G24" s="22"/>
      <c r="H24" s="22"/>
      <c r="I24" s="22"/>
      <c r="J24" s="22"/>
      <c r="K24" s="22"/>
      <c r="L24" s="22"/>
      <c r="M24" s="22"/>
      <c r="N24" s="22"/>
      <c r="O24" s="22"/>
      <c r="P24" s="22"/>
    </row>
    <row r="28" spans="1:16" x14ac:dyDescent="0.2">
      <c r="D28" s="17"/>
    </row>
  </sheetData>
  <sheetProtection sheet="1"/>
  <customSheetViews>
    <customSheetView guid="{2239797F-3020-4364-93B0-F22DAADF645D}" state="hidden" showRuler="0">
      <selection activeCell="A18" sqref="A18"/>
      <pageMargins left="0.7" right="0.7" top="0.75" bottom="0.75" header="0.3" footer="0.3"/>
      <headerFooter alignWithMargins="0"/>
    </customSheetView>
  </customSheetViews>
  <phoneticPr fontId="7" type="noConversion"/>
  <pageMargins left="0.75" right="0.75" top="1" bottom="1" header="0" footer="0"/>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pageSetUpPr fitToPage="1"/>
  </sheetPr>
  <dimension ref="A1:AH167"/>
  <sheetViews>
    <sheetView topLeftCell="A28" zoomScaleNormal="100" workbookViewId="0">
      <selection activeCell="N47" sqref="N47"/>
    </sheetView>
  </sheetViews>
  <sheetFormatPr baseColWidth="10" defaultRowHeight="12.75" x14ac:dyDescent="0.2"/>
  <cols>
    <col min="1" max="1" width="18.42578125" customWidth="1"/>
    <col min="2" max="2" width="8.85546875" style="1221" customWidth="1"/>
    <col min="3" max="4" width="10.42578125" style="1221" customWidth="1"/>
    <col min="5" max="5" width="10.42578125" customWidth="1"/>
    <col min="6" max="6" width="9.42578125" customWidth="1"/>
    <col min="7" max="7" width="8.85546875" customWidth="1"/>
    <col min="8" max="8" width="10.140625" customWidth="1"/>
    <col min="9" max="9" width="9.42578125" customWidth="1"/>
    <col min="10" max="10" width="10.5703125" customWidth="1"/>
    <col min="11" max="11" width="10.42578125" style="1221" customWidth="1"/>
    <col min="12" max="12" width="10" style="1221" customWidth="1"/>
    <col min="13" max="13" width="8.5703125" customWidth="1"/>
    <col min="14" max="16" width="10.85546875" style="44" customWidth="1"/>
    <col min="17" max="17" width="11.42578125" style="44" customWidth="1"/>
    <col min="18" max="18" width="12" style="151" customWidth="1"/>
    <col min="19" max="19" width="8.140625" customWidth="1"/>
    <col min="20" max="20" width="8.5703125" customWidth="1"/>
    <col min="21" max="21" width="8" customWidth="1"/>
  </cols>
  <sheetData>
    <row r="1" spans="1:18" x14ac:dyDescent="0.2">
      <c r="A1" t="s">
        <v>515</v>
      </c>
    </row>
    <row r="2" spans="1:18" x14ac:dyDescent="0.2">
      <c r="A2" t="s">
        <v>516</v>
      </c>
      <c r="B2" s="1221" t="s">
        <v>336</v>
      </c>
      <c r="C2" s="1221" t="s">
        <v>337</v>
      </c>
      <c r="D2" s="1221" t="s">
        <v>519</v>
      </c>
    </row>
    <row r="3" spans="1:18" x14ac:dyDescent="0.2">
      <c r="A3" t="s">
        <v>517</v>
      </c>
      <c r="B3" s="1221">
        <v>0.6</v>
      </c>
      <c r="C3" s="1221">
        <v>3</v>
      </c>
      <c r="D3" s="1221">
        <v>0.72</v>
      </c>
      <c r="E3" s="42">
        <v>2</v>
      </c>
      <c r="F3">
        <f>IF('R1'!D141=1,3,'R4'!E3)</f>
        <v>3</v>
      </c>
      <c r="G3" s="20">
        <f>CHOOSE($F3,B3,B4,B5)</f>
        <v>0</v>
      </c>
      <c r="H3" s="20">
        <f>CHOOSE($F3,C3,C4,C5)</f>
        <v>0</v>
      </c>
      <c r="I3" s="20">
        <f>CHOOSE($F3,D3,D4,D5)</f>
        <v>0</v>
      </c>
      <c r="J3" t="s">
        <v>604</v>
      </c>
    </row>
    <row r="4" spans="1:18" x14ac:dyDescent="0.2">
      <c r="A4" t="s">
        <v>518</v>
      </c>
      <c r="B4" s="1221">
        <v>0.75</v>
      </c>
      <c r="C4" s="1221">
        <v>6</v>
      </c>
      <c r="D4" s="1221">
        <v>0.9</v>
      </c>
      <c r="G4" s="20">
        <f>'Vivienda Objeto'!N171</f>
        <v>0</v>
      </c>
      <c r="H4" s="20">
        <f>'Vivienda Objeto'!N172</f>
        <v>0</v>
      </c>
      <c r="I4" s="20">
        <f>'Vivienda Objeto'!N173</f>
        <v>0</v>
      </c>
      <c r="J4" t="s">
        <v>602</v>
      </c>
    </row>
    <row r="5" spans="1:18" x14ac:dyDescent="0.2">
      <c r="A5" t="s">
        <v>164</v>
      </c>
      <c r="B5" s="1221">
        <v>0</v>
      </c>
      <c r="C5" s="1221">
        <v>0</v>
      </c>
      <c r="D5" s="1221">
        <v>0</v>
      </c>
    </row>
    <row r="6" spans="1:18" ht="13.5" thickBot="1" x14ac:dyDescent="0.25"/>
    <row r="7" spans="1:18" x14ac:dyDescent="0.2">
      <c r="A7" s="312" t="s">
        <v>521</v>
      </c>
      <c r="B7" s="309">
        <f>'Vivienda Objeto'!H165*'R4'!I4*G9</f>
        <v>0</v>
      </c>
      <c r="C7" s="1221" t="s">
        <v>520</v>
      </c>
      <c r="E7" t="s">
        <v>838</v>
      </c>
      <c r="G7">
        <f>CE_Chile!$H$165</f>
        <v>2</v>
      </c>
      <c r="H7" s="309">
        <f>'Vivienda Objeto'!H165*'R4'!I4</f>
        <v>0</v>
      </c>
    </row>
    <row r="8" spans="1:18" x14ac:dyDescent="0.2">
      <c r="A8" s="313" t="s">
        <v>544</v>
      </c>
      <c r="B8" s="310">
        <v>0.86</v>
      </c>
      <c r="E8" t="s">
        <v>839</v>
      </c>
      <c r="G8">
        <f>'R1'!D141</f>
        <v>1</v>
      </c>
      <c r="H8" s="16" t="str">
        <f>'R1'!F141</f>
        <v>No</v>
      </c>
    </row>
    <row r="9" spans="1:18" x14ac:dyDescent="0.2">
      <c r="A9" s="313" t="s">
        <v>545</v>
      </c>
      <c r="B9" s="310">
        <v>0.84</v>
      </c>
      <c r="E9" t="s">
        <v>840</v>
      </c>
      <c r="G9">
        <f>IF(G8=1,0,1)</f>
        <v>0</v>
      </c>
    </row>
    <row r="10" spans="1:18" x14ac:dyDescent="0.2">
      <c r="A10" s="313" t="s">
        <v>546</v>
      </c>
      <c r="B10" s="310">
        <v>0.2</v>
      </c>
    </row>
    <row r="11" spans="1:18" ht="13.5" thickBot="1" x14ac:dyDescent="0.25">
      <c r="A11" s="314" t="s">
        <v>695</v>
      </c>
      <c r="B11" s="311">
        <f>'Vivienda Objeto'!H166</f>
        <v>40</v>
      </c>
      <c r="C11" s="1221" t="s">
        <v>552</v>
      </c>
    </row>
    <row r="12" spans="1:18" s="1223" customFormat="1" ht="27" customHeight="1" x14ac:dyDescent="0.2">
      <c r="B12" s="1539" t="s">
        <v>667</v>
      </c>
      <c r="C12" s="1539"/>
      <c r="D12" s="1539"/>
      <c r="E12" s="1539"/>
      <c r="F12" s="1539"/>
      <c r="G12" s="1539"/>
      <c r="H12" s="1539"/>
      <c r="J12" s="766" t="s">
        <v>668</v>
      </c>
      <c r="N12" s="234"/>
      <c r="O12" s="234"/>
      <c r="P12" s="234"/>
      <c r="Q12" s="234"/>
      <c r="R12" s="234"/>
    </row>
    <row r="13" spans="1:18" ht="13.5" thickBot="1" x14ac:dyDescent="0.25">
      <c r="A13" t="s">
        <v>522</v>
      </c>
      <c r="B13" s="1221" t="s">
        <v>535</v>
      </c>
      <c r="C13" s="1221" t="s">
        <v>536</v>
      </c>
      <c r="D13" s="1221" t="s">
        <v>537</v>
      </c>
      <c r="E13" s="1221" t="s">
        <v>538</v>
      </c>
      <c r="F13" s="1221" t="s">
        <v>539</v>
      </c>
      <c r="G13" s="1221" t="s">
        <v>540</v>
      </c>
      <c r="H13" s="1221" t="s">
        <v>541</v>
      </c>
      <c r="J13" s="235"/>
      <c r="M13">
        <f>35000000/6</f>
        <v>5833333.333333333</v>
      </c>
    </row>
    <row r="14" spans="1:18" x14ac:dyDescent="0.2">
      <c r="A14" t="s">
        <v>523</v>
      </c>
      <c r="B14" s="160">
        <v>20.7</v>
      </c>
      <c r="C14" s="161">
        <v>18</v>
      </c>
      <c r="D14" s="161">
        <v>19.899999999999999</v>
      </c>
      <c r="E14" s="161">
        <v>16.8</v>
      </c>
      <c r="F14" s="161">
        <v>16.899999999999999</v>
      </c>
      <c r="G14" s="161">
        <v>15.4</v>
      </c>
      <c r="H14" s="162">
        <v>11.7</v>
      </c>
      <c r="J14" s="236">
        <f>(CHOOSE('R1'!$J$2,B14,C14,D14,E14,F14,G14,H14))</f>
        <v>19.899999999999999</v>
      </c>
    </row>
    <row r="15" spans="1:18" x14ac:dyDescent="0.2">
      <c r="A15" t="s">
        <v>524</v>
      </c>
      <c r="B15" s="163">
        <v>20.2</v>
      </c>
      <c r="C15" s="159">
        <v>17.899999999999999</v>
      </c>
      <c r="D15" s="159">
        <v>19.2</v>
      </c>
      <c r="E15" s="159">
        <v>16.3</v>
      </c>
      <c r="F15" s="159">
        <v>16.600000000000001</v>
      </c>
      <c r="G15" s="159">
        <v>15</v>
      </c>
      <c r="H15" s="164">
        <v>10.6</v>
      </c>
      <c r="J15" s="236">
        <f>(CHOOSE('R1'!$J$2,B15,C15,D15,E15,F15,G15,H15))</f>
        <v>19.2</v>
      </c>
    </row>
    <row r="16" spans="1:18" x14ac:dyDescent="0.2">
      <c r="A16" t="s">
        <v>525</v>
      </c>
      <c r="B16" s="163">
        <v>19.7</v>
      </c>
      <c r="C16" s="159">
        <v>16.7</v>
      </c>
      <c r="D16" s="159">
        <v>17.2</v>
      </c>
      <c r="E16" s="159">
        <v>14.6</v>
      </c>
      <c r="F16" s="159">
        <v>14.8</v>
      </c>
      <c r="G16" s="159">
        <v>13.3</v>
      </c>
      <c r="H16" s="164">
        <v>8.9</v>
      </c>
      <c r="J16" s="236">
        <f>(CHOOSE('R1'!$J$2,B16,C16,D16,E16,F16,G16,H16))</f>
        <v>17.2</v>
      </c>
    </row>
    <row r="17" spans="1:28" x14ac:dyDescent="0.2">
      <c r="A17" t="s">
        <v>526</v>
      </c>
      <c r="B17" s="163">
        <v>17.3</v>
      </c>
      <c r="C17" s="159">
        <v>14.9</v>
      </c>
      <c r="D17" s="159">
        <v>13.9</v>
      </c>
      <c r="E17" s="159">
        <v>12.1</v>
      </c>
      <c r="F17" s="159">
        <v>12</v>
      </c>
      <c r="G17" s="159">
        <v>11.4</v>
      </c>
      <c r="H17" s="164">
        <v>6.7</v>
      </c>
      <c r="J17" s="236">
        <f>(CHOOSE('R1'!$J$2,B17,C17,D17,E17,F17,G17,H17))</f>
        <v>13.9</v>
      </c>
    </row>
    <row r="18" spans="1:28" x14ac:dyDescent="0.2">
      <c r="A18" t="s">
        <v>527</v>
      </c>
      <c r="B18" s="163">
        <v>15.7</v>
      </c>
      <c r="C18" s="159">
        <v>13.5</v>
      </c>
      <c r="D18" s="159">
        <v>10.8</v>
      </c>
      <c r="E18" s="159">
        <v>11</v>
      </c>
      <c r="F18" s="159">
        <v>9.9</v>
      </c>
      <c r="G18" s="159">
        <v>9.6</v>
      </c>
      <c r="H18" s="164">
        <v>4.2</v>
      </c>
      <c r="J18" s="236">
        <f>(CHOOSE('R1'!$J$2,B18,C18,D18,E18,F18,G18,H18))</f>
        <v>10.8</v>
      </c>
    </row>
    <row r="19" spans="1:28" x14ac:dyDescent="0.2">
      <c r="A19" t="s">
        <v>528</v>
      </c>
      <c r="B19" s="163">
        <v>14.2</v>
      </c>
      <c r="C19" s="159">
        <v>12.3</v>
      </c>
      <c r="D19" s="159">
        <v>8.4</v>
      </c>
      <c r="E19" s="159">
        <v>9</v>
      </c>
      <c r="F19" s="159">
        <v>7.9</v>
      </c>
      <c r="G19" s="159">
        <v>8.1</v>
      </c>
      <c r="H19" s="164">
        <v>2.6</v>
      </c>
      <c r="J19" s="236">
        <f>(CHOOSE('R1'!$J$2,B19,C19,D19,E19,F19,G19,H19))</f>
        <v>8.4</v>
      </c>
    </row>
    <row r="20" spans="1:28" x14ac:dyDescent="0.2">
      <c r="A20" t="s">
        <v>529</v>
      </c>
      <c r="B20" s="163">
        <v>13.9</v>
      </c>
      <c r="C20" s="159">
        <v>11.8</v>
      </c>
      <c r="D20" s="159">
        <v>8.1</v>
      </c>
      <c r="E20" s="159">
        <v>6.4</v>
      </c>
      <c r="F20" s="159">
        <v>7.7</v>
      </c>
      <c r="G20" s="159">
        <v>7.6</v>
      </c>
      <c r="H20" s="164">
        <v>2.5</v>
      </c>
      <c r="J20" s="236">
        <f>(CHOOSE('R1'!$J$2,B20,C20,D20,E20,F20,G20,H20))</f>
        <v>8.1</v>
      </c>
    </row>
    <row r="21" spans="1:28" x14ac:dyDescent="0.2">
      <c r="A21" t="s">
        <v>530</v>
      </c>
      <c r="B21" s="163">
        <v>14.1</v>
      </c>
      <c r="C21" s="159">
        <v>12.1</v>
      </c>
      <c r="D21" s="159">
        <v>9.3000000000000007</v>
      </c>
      <c r="E21" s="159">
        <v>8.6</v>
      </c>
      <c r="F21" s="159">
        <v>8.1</v>
      </c>
      <c r="G21" s="159">
        <v>7.8</v>
      </c>
      <c r="H21" s="164">
        <v>2.9</v>
      </c>
      <c r="J21" s="236">
        <f>(CHOOSE('R1'!$J$2,B21,C21,D21,E21,F21,G21,H21))</f>
        <v>9.3000000000000007</v>
      </c>
    </row>
    <row r="22" spans="1:28" x14ac:dyDescent="0.2">
      <c r="A22" t="s">
        <v>531</v>
      </c>
      <c r="B22" s="163">
        <v>14.9</v>
      </c>
      <c r="C22" s="159">
        <v>12.9</v>
      </c>
      <c r="D22" s="159">
        <v>11.4</v>
      </c>
      <c r="E22" s="159">
        <v>10</v>
      </c>
      <c r="F22" s="159">
        <v>9.6999999999999993</v>
      </c>
      <c r="G22" s="159">
        <v>8.9</v>
      </c>
      <c r="H22" s="164">
        <v>4.5999999999999996</v>
      </c>
      <c r="J22" s="236">
        <f>(CHOOSE('R1'!$J$2,B22,C22,D22,E22,F22,G22,H22))</f>
        <v>11.4</v>
      </c>
    </row>
    <row r="23" spans="1:28" x14ac:dyDescent="0.2">
      <c r="A23" t="s">
        <v>532</v>
      </c>
      <c r="B23" s="163">
        <v>15.9</v>
      </c>
      <c r="C23" s="159">
        <v>14.1</v>
      </c>
      <c r="D23" s="159">
        <v>13.7</v>
      </c>
      <c r="E23" s="159">
        <v>11.7</v>
      </c>
      <c r="F23" s="159">
        <v>11.5</v>
      </c>
      <c r="G23" s="159">
        <v>10.7</v>
      </c>
      <c r="H23" s="164">
        <v>7.1</v>
      </c>
      <c r="J23" s="236">
        <f>(CHOOSE('R1'!$J$2,B23,C23,D23,E23,F23,G23,H23))</f>
        <v>13.7</v>
      </c>
    </row>
    <row r="24" spans="1:28" x14ac:dyDescent="0.2">
      <c r="A24" t="s">
        <v>533</v>
      </c>
      <c r="B24" s="163">
        <v>17.399999999999999</v>
      </c>
      <c r="C24" s="159">
        <v>15.8</v>
      </c>
      <c r="D24" s="159">
        <v>16.399999999999999</v>
      </c>
      <c r="E24" s="159">
        <v>14.2</v>
      </c>
      <c r="F24" s="159">
        <v>13.3</v>
      </c>
      <c r="G24" s="159">
        <v>12.5</v>
      </c>
      <c r="H24" s="164">
        <v>8.5</v>
      </c>
      <c r="J24" s="236">
        <f>(CHOOSE('R1'!$J$2,B24,C24,D24,E24,F24,G24,H24))</f>
        <v>16.399999999999999</v>
      </c>
    </row>
    <row r="25" spans="1:28" ht="13.5" thickBot="1" x14ac:dyDescent="0.25">
      <c r="A25" t="s">
        <v>534</v>
      </c>
      <c r="B25" s="165">
        <v>19.399999999999999</v>
      </c>
      <c r="C25" s="166">
        <v>17.3</v>
      </c>
      <c r="D25" s="166">
        <v>18.8</v>
      </c>
      <c r="E25" s="166">
        <v>16.2</v>
      </c>
      <c r="F25" s="166">
        <v>15.4</v>
      </c>
      <c r="G25" s="166">
        <v>14.2</v>
      </c>
      <c r="H25" s="167">
        <v>10.199999999999999</v>
      </c>
      <c r="J25" s="237">
        <f>(CHOOSE('R1'!$J$2,B25,C25,D25,E25,F25,G25,H25))</f>
        <v>18.8</v>
      </c>
    </row>
    <row r="27" spans="1:28" s="232" customFormat="1" ht="27" customHeight="1" thickBot="1" x14ac:dyDescent="0.25">
      <c r="A27" s="232" t="s">
        <v>321</v>
      </c>
      <c r="B27" s="775" t="s">
        <v>535</v>
      </c>
      <c r="C27" s="775" t="s">
        <v>536</v>
      </c>
      <c r="D27" s="775" t="s">
        <v>537</v>
      </c>
      <c r="E27" s="775" t="s">
        <v>538</v>
      </c>
      <c r="F27" s="775" t="s">
        <v>539</v>
      </c>
      <c r="G27" s="775" t="s">
        <v>540</v>
      </c>
      <c r="H27" s="775" t="s">
        <v>541</v>
      </c>
      <c r="J27" s="775" t="s">
        <v>806</v>
      </c>
      <c r="K27" s="775" t="s">
        <v>805</v>
      </c>
      <c r="L27" s="1223" t="s">
        <v>602</v>
      </c>
      <c r="N27" s="233"/>
      <c r="O27" s="233"/>
      <c r="P27" s="233"/>
      <c r="Q27" s="785" t="s">
        <v>233</v>
      </c>
      <c r="R27" s="234"/>
    </row>
    <row r="28" spans="1:28" x14ac:dyDescent="0.2">
      <c r="A28" t="s">
        <v>523</v>
      </c>
      <c r="B28" s="776">
        <v>6.73</v>
      </c>
      <c r="C28" s="777">
        <v>6.17</v>
      </c>
      <c r="D28" s="777">
        <v>6.87</v>
      </c>
      <c r="E28" s="777">
        <v>6.72</v>
      </c>
      <c r="F28" s="777">
        <v>6.5</v>
      </c>
      <c r="G28" s="777">
        <v>5.96</v>
      </c>
      <c r="H28" s="778">
        <v>5.5</v>
      </c>
      <c r="J28" s="786">
        <f>(CHOOSE('R1'!$J$2,B28,C28,D28,E28,F28,G28,H28))</f>
        <v>6.87</v>
      </c>
      <c r="K28" s="787">
        <v>0</v>
      </c>
      <c r="L28" s="792">
        <f>R28</f>
        <v>8.1131322580645158</v>
      </c>
      <c r="Q28" s="115">
        <f>'R6'!Q5</f>
        <v>251.50710000000001</v>
      </c>
      <c r="R28" s="432">
        <f>Q28/C44</f>
        <v>8.1131322580645158</v>
      </c>
    </row>
    <row r="29" spans="1:28" x14ac:dyDescent="0.2">
      <c r="A29" t="s">
        <v>524</v>
      </c>
      <c r="B29" s="779">
        <v>6.41</v>
      </c>
      <c r="C29" s="780">
        <v>5.25</v>
      </c>
      <c r="D29" s="780">
        <v>6.01</v>
      </c>
      <c r="E29" s="780">
        <v>5.77</v>
      </c>
      <c r="F29" s="780">
        <v>6.12</v>
      </c>
      <c r="G29" s="780">
        <v>4.96</v>
      </c>
      <c r="H29" s="781">
        <v>4.2300000000000004</v>
      </c>
      <c r="J29" s="788">
        <f>(CHOOSE('R1'!$J$2,B29,C29,D29,E29,F29,G29,H29))</f>
        <v>6.01</v>
      </c>
      <c r="K29" s="789">
        <v>0</v>
      </c>
      <c r="L29" s="793">
        <f t="shared" ref="L29:L39" si="0">R29</f>
        <v>7.2015285714285708</v>
      </c>
      <c r="Q29" s="115">
        <f>'R6'!R5</f>
        <v>201.64279999999999</v>
      </c>
      <c r="R29" s="432">
        <f t="shared" ref="R29:R39" si="1">Q29/C45</f>
        <v>7.2015285714285708</v>
      </c>
      <c r="AB29" s="44">
        <f>'R6'!AC5</f>
        <v>0</v>
      </c>
    </row>
    <row r="30" spans="1:28" x14ac:dyDescent="0.2">
      <c r="A30" t="s">
        <v>525</v>
      </c>
      <c r="B30" s="779">
        <v>5.75</v>
      </c>
      <c r="C30" s="780">
        <v>4.25</v>
      </c>
      <c r="D30" s="780">
        <v>4.6500000000000004</v>
      </c>
      <c r="E30" s="780">
        <v>4.55</v>
      </c>
      <c r="F30" s="780">
        <v>4.6500000000000004</v>
      </c>
      <c r="G30" s="780">
        <v>2.79</v>
      </c>
      <c r="H30" s="781">
        <v>2.93</v>
      </c>
      <c r="J30" s="788">
        <f>(CHOOSE('R1'!$J$2,B30,C30,D30,E30,F30,G30,H30))</f>
        <v>4.6500000000000004</v>
      </c>
      <c r="K30" s="789">
        <v>0</v>
      </c>
      <c r="L30" s="793">
        <f t="shared" si="0"/>
        <v>5.6423483870967743</v>
      </c>
      <c r="Q30" s="115">
        <f>'R6'!S5</f>
        <v>174.9128</v>
      </c>
      <c r="R30" s="432">
        <f t="shared" si="1"/>
        <v>5.6423483870967743</v>
      </c>
    </row>
    <row r="31" spans="1:28" x14ac:dyDescent="0.2">
      <c r="A31" t="s">
        <v>526</v>
      </c>
      <c r="B31" s="779">
        <v>4.58</v>
      </c>
      <c r="C31" s="780">
        <v>2.88</v>
      </c>
      <c r="D31" s="780">
        <v>3.22</v>
      </c>
      <c r="E31" s="780">
        <v>3.19</v>
      </c>
      <c r="F31" s="780">
        <v>2.71</v>
      </c>
      <c r="G31" s="780">
        <v>2.0299999999999998</v>
      </c>
      <c r="H31" s="781">
        <v>1.56</v>
      </c>
      <c r="J31" s="788">
        <f>(CHOOSE('R1'!$J$2,B31,C31,D31,E31,F31,G31,H31))</f>
        <v>3.22</v>
      </c>
      <c r="K31" s="789">
        <v>0</v>
      </c>
      <c r="L31" s="793">
        <f t="shared" si="0"/>
        <v>3.8341533333333335</v>
      </c>
      <c r="Q31" s="115">
        <f>'R6'!T5</f>
        <v>115.02460000000001</v>
      </c>
      <c r="R31" s="432">
        <f t="shared" si="1"/>
        <v>3.8341533333333335</v>
      </c>
    </row>
    <row r="32" spans="1:28" x14ac:dyDescent="0.2">
      <c r="A32" t="s">
        <v>527</v>
      </c>
      <c r="B32" s="779">
        <v>3.52</v>
      </c>
      <c r="C32" s="780">
        <v>1.94</v>
      </c>
      <c r="D32" s="780">
        <v>2.25</v>
      </c>
      <c r="E32" s="780">
        <v>1.86</v>
      </c>
      <c r="F32" s="780">
        <v>1.56</v>
      </c>
      <c r="G32" s="780">
        <v>1.25</v>
      </c>
      <c r="H32" s="781">
        <v>0.79</v>
      </c>
      <c r="J32" s="788">
        <f>(CHOOSE('R1'!$J$2,B32,C32,D32,E32,F32,G32,H32))</f>
        <v>2.25</v>
      </c>
      <c r="K32" s="789">
        <v>0</v>
      </c>
      <c r="L32" s="793">
        <f t="shared" si="0"/>
        <v>2.5307787096774192</v>
      </c>
      <c r="Q32" s="115">
        <f>'R6'!U5</f>
        <v>78.454139999999995</v>
      </c>
      <c r="R32" s="432">
        <f t="shared" si="1"/>
        <v>2.5307787096774192</v>
      </c>
    </row>
    <row r="33" spans="1:21" x14ac:dyDescent="0.2">
      <c r="A33" t="s">
        <v>528</v>
      </c>
      <c r="B33" s="779">
        <v>3.17</v>
      </c>
      <c r="C33" s="780">
        <v>1.58</v>
      </c>
      <c r="D33" s="780">
        <v>1.5</v>
      </c>
      <c r="E33" s="780">
        <v>1.54</v>
      </c>
      <c r="F33" s="780">
        <v>1.1499999999999999</v>
      </c>
      <c r="G33" s="780">
        <v>1.1599999999999999</v>
      </c>
      <c r="H33" s="781">
        <v>0.5</v>
      </c>
      <c r="J33" s="788">
        <f>(CHOOSE('R1'!$J$2,B33,C33,D33,E33,F33,G33,H33))</f>
        <v>1.5</v>
      </c>
      <c r="K33" s="789">
        <v>0</v>
      </c>
      <c r="L33" s="793">
        <f t="shared" si="0"/>
        <v>1.9863036666666667</v>
      </c>
      <c r="Q33" s="115">
        <f>'R6'!V5</f>
        <v>59.589109999999998</v>
      </c>
      <c r="R33" s="432">
        <f t="shared" si="1"/>
        <v>1.9863036666666667</v>
      </c>
    </row>
    <row r="34" spans="1:21" x14ac:dyDescent="0.2">
      <c r="A34" t="s">
        <v>529</v>
      </c>
      <c r="B34" s="779">
        <v>3.39</v>
      </c>
      <c r="C34" s="780">
        <v>1.81</v>
      </c>
      <c r="D34" s="780">
        <v>1.69</v>
      </c>
      <c r="E34" s="780">
        <v>1.77</v>
      </c>
      <c r="F34" s="780">
        <v>1.17</v>
      </c>
      <c r="G34" s="780">
        <v>1.66</v>
      </c>
      <c r="H34" s="781">
        <v>0.67</v>
      </c>
      <c r="J34" s="788">
        <f>(CHOOSE('R1'!$J$2,B34,C34,D34,E34,F34,G34,H34))</f>
        <v>1.69</v>
      </c>
      <c r="K34" s="789">
        <v>0</v>
      </c>
      <c r="L34" s="793">
        <f t="shared" si="0"/>
        <v>2.3357387096774191</v>
      </c>
      <c r="Q34" s="115">
        <f>'R6'!W5</f>
        <v>72.407899999999998</v>
      </c>
      <c r="R34" s="432">
        <f t="shared" si="1"/>
        <v>2.3357387096774191</v>
      </c>
    </row>
    <row r="35" spans="1:21" x14ac:dyDescent="0.2">
      <c r="A35" t="s">
        <v>530</v>
      </c>
      <c r="B35" s="779">
        <v>3.94</v>
      </c>
      <c r="C35" s="780">
        <v>2.65</v>
      </c>
      <c r="D35" s="780">
        <v>2.5</v>
      </c>
      <c r="E35" s="780">
        <v>2.61</v>
      </c>
      <c r="F35" s="780">
        <v>2.27</v>
      </c>
      <c r="G35" s="780">
        <v>2.69</v>
      </c>
      <c r="H35" s="781">
        <v>1.1599999999999999</v>
      </c>
      <c r="J35" s="788">
        <f>(CHOOSE('R1'!$J$2,B35,C35,D35,E35,F35,G35,H35))</f>
        <v>2.5</v>
      </c>
      <c r="K35" s="789">
        <v>0</v>
      </c>
      <c r="L35" s="793">
        <f t="shared" si="0"/>
        <v>3.1269874193548386</v>
      </c>
      <c r="Q35" s="115">
        <f>'R6'!X5</f>
        <v>96.936610000000002</v>
      </c>
      <c r="R35" s="432">
        <f t="shared" si="1"/>
        <v>3.1269874193548386</v>
      </c>
    </row>
    <row r="36" spans="1:21" x14ac:dyDescent="0.2">
      <c r="A36" t="s">
        <v>531</v>
      </c>
      <c r="B36" s="779">
        <v>4.92</v>
      </c>
      <c r="C36" s="780">
        <v>3.68</v>
      </c>
      <c r="D36" s="780">
        <v>3.62</v>
      </c>
      <c r="E36" s="780">
        <v>3.76</v>
      </c>
      <c r="F36" s="780">
        <v>3.36</v>
      </c>
      <c r="G36" s="780">
        <v>3.63</v>
      </c>
      <c r="H36" s="781">
        <v>2.5</v>
      </c>
      <c r="J36" s="788">
        <f>(CHOOSE('R1'!$J$2,B36,C36,D36,E36,F36,G36,H36))</f>
        <v>3.62</v>
      </c>
      <c r="K36" s="789">
        <v>0</v>
      </c>
      <c r="L36" s="793">
        <f t="shared" si="0"/>
        <v>4.3659466666666669</v>
      </c>
      <c r="N36" s="44" t="s">
        <v>5</v>
      </c>
      <c r="O36" s="1077">
        <f>ABS('Vivienda Objeto'!H167)</f>
        <v>10</v>
      </c>
      <c r="Q36" s="115">
        <f>'R6'!Y5</f>
        <v>130.97839999999999</v>
      </c>
      <c r="R36" s="432">
        <f t="shared" si="1"/>
        <v>4.3659466666666669</v>
      </c>
    </row>
    <row r="37" spans="1:21" x14ac:dyDescent="0.2">
      <c r="A37" t="s">
        <v>532</v>
      </c>
      <c r="B37" s="779">
        <v>5.96</v>
      </c>
      <c r="C37" s="780">
        <v>4.6500000000000004</v>
      </c>
      <c r="D37" s="780">
        <v>5.01</v>
      </c>
      <c r="E37" s="780">
        <v>5.0999999999999996</v>
      </c>
      <c r="F37" s="780">
        <v>4.72</v>
      </c>
      <c r="G37" s="780">
        <v>4.79</v>
      </c>
      <c r="H37" s="781">
        <v>3.6</v>
      </c>
      <c r="J37" s="788">
        <f>(CHOOSE('R1'!$J$2,B37,C37,D37,E37,F37,G37,H37))</f>
        <v>5.01</v>
      </c>
      <c r="K37" s="789">
        <v>0</v>
      </c>
      <c r="L37" s="793">
        <f t="shared" si="0"/>
        <v>6.0185709677419359</v>
      </c>
      <c r="O37" s="1077">
        <f>POWER(O36,2)</f>
        <v>100</v>
      </c>
      <c r="Q37" s="115">
        <f>'R6'!Z5</f>
        <v>186.57570000000001</v>
      </c>
      <c r="R37" s="432">
        <f t="shared" si="1"/>
        <v>6.0185709677419359</v>
      </c>
    </row>
    <row r="38" spans="1:21" x14ac:dyDescent="0.2">
      <c r="A38" t="s">
        <v>533</v>
      </c>
      <c r="B38" s="779">
        <v>6.59</v>
      </c>
      <c r="C38" s="780">
        <v>5.83</v>
      </c>
      <c r="D38" s="780">
        <v>6.23</v>
      </c>
      <c r="E38" s="780">
        <v>6.07</v>
      </c>
      <c r="F38" s="780">
        <v>5.58</v>
      </c>
      <c r="G38" s="780">
        <v>5.64</v>
      </c>
      <c r="H38" s="781">
        <v>5.43</v>
      </c>
      <c r="J38" s="788">
        <f>(CHOOSE('R1'!$J$2,B38,C38,D38,E38,F38,G38,H38))</f>
        <v>6.23</v>
      </c>
      <c r="K38" s="789">
        <v>0</v>
      </c>
      <c r="L38" s="793">
        <f t="shared" si="0"/>
        <v>7.6109133333333334</v>
      </c>
      <c r="N38" t="s">
        <v>620</v>
      </c>
      <c r="O38">
        <f>1-(3.5/100000)*O37</f>
        <v>0.99650000000000005</v>
      </c>
      <c r="Q38" s="115">
        <f>'R6'!AA5</f>
        <v>228.32740000000001</v>
      </c>
      <c r="R38" s="432">
        <f t="shared" si="1"/>
        <v>7.6109133333333334</v>
      </c>
    </row>
    <row r="39" spans="1:21" ht="13.5" thickBot="1" x14ac:dyDescent="0.25">
      <c r="A39" t="s">
        <v>534</v>
      </c>
      <c r="B39" s="782">
        <v>6.93</v>
      </c>
      <c r="C39" s="783">
        <v>6.15</v>
      </c>
      <c r="D39" s="783">
        <v>6.86</v>
      </c>
      <c r="E39" s="783">
        <v>6.66</v>
      </c>
      <c r="F39" s="783">
        <v>6.9</v>
      </c>
      <c r="G39" s="783">
        <v>5.38</v>
      </c>
      <c r="H39" s="784">
        <v>5.67</v>
      </c>
      <c r="J39" s="790">
        <f>(CHOOSE('R1'!$J$2,B39,C39,D39,E39,F39,G39,H39))</f>
        <v>6.86</v>
      </c>
      <c r="K39" s="791">
        <v>0</v>
      </c>
      <c r="L39" s="794">
        <f t="shared" si="0"/>
        <v>8.2621064516129028</v>
      </c>
      <c r="N39" t="s">
        <v>621</v>
      </c>
      <c r="O39">
        <f>'Vivienda Objeto'!H168</f>
        <v>1</v>
      </c>
      <c r="Q39" s="115">
        <f>'R6'!AB5</f>
        <v>256.12529999999998</v>
      </c>
      <c r="R39" s="432">
        <f t="shared" si="1"/>
        <v>8.2621064516129028</v>
      </c>
    </row>
    <row r="40" spans="1:21" ht="13.5" thickBot="1" x14ac:dyDescent="0.25">
      <c r="B40" s="188"/>
      <c r="C40" s="188"/>
      <c r="D40" s="188"/>
      <c r="E40" s="188"/>
      <c r="F40" s="188"/>
      <c r="G40" s="188"/>
      <c r="H40" s="188"/>
      <c r="J40" s="426"/>
      <c r="N40"/>
      <c r="O40"/>
    </row>
    <row r="41" spans="1:21" ht="13.5" thickBot="1" x14ac:dyDescent="0.25">
      <c r="K41" s="315" t="s">
        <v>558</v>
      </c>
      <c r="L41" s="152"/>
    </row>
    <row r="42" spans="1:21" ht="13.5" thickBot="1" x14ac:dyDescent="0.25">
      <c r="A42" s="1068" t="s">
        <v>1277</v>
      </c>
      <c r="K42" s="428">
        <f>J58+B11/57.3</f>
        <v>0.12216404886561949</v>
      </c>
      <c r="L42" s="152"/>
      <c r="N42" s="151" t="s">
        <v>583</v>
      </c>
      <c r="O42" s="1221" t="s">
        <v>692</v>
      </c>
      <c r="P42" s="275" t="s">
        <v>693</v>
      </c>
      <c r="U42" t="s">
        <v>431</v>
      </c>
    </row>
    <row r="43" spans="1:21" x14ac:dyDescent="0.2">
      <c r="A43" s="178" t="s">
        <v>542</v>
      </c>
      <c r="B43" s="179" t="s">
        <v>543</v>
      </c>
      <c r="C43" s="429" t="s">
        <v>299</v>
      </c>
      <c r="D43" s="1142" t="s">
        <v>548</v>
      </c>
      <c r="E43" s="1143" t="s">
        <v>549</v>
      </c>
      <c r="F43" s="1143" t="s">
        <v>553</v>
      </c>
      <c r="G43" s="1144" t="s">
        <v>554</v>
      </c>
      <c r="H43" s="1143" t="s">
        <v>555</v>
      </c>
      <c r="I43" s="1143" t="s">
        <v>556</v>
      </c>
      <c r="J43" s="1145" t="s">
        <v>557</v>
      </c>
      <c r="K43" s="1143" t="s">
        <v>323</v>
      </c>
      <c r="L43" s="1143" t="s">
        <v>559</v>
      </c>
      <c r="M43" s="1146" t="s">
        <v>560</v>
      </c>
      <c r="N43" s="1140" t="s">
        <v>561</v>
      </c>
      <c r="O43" s="427" t="s">
        <v>561</v>
      </c>
      <c r="P43" s="434" t="s">
        <v>561</v>
      </c>
      <c r="Q43" s="151"/>
      <c r="U43" t="s">
        <v>431</v>
      </c>
    </row>
    <row r="44" spans="1:21" x14ac:dyDescent="0.2">
      <c r="A44" s="181" t="s">
        <v>523</v>
      </c>
      <c r="B44" s="177">
        <v>17</v>
      </c>
      <c r="C44" s="430">
        <v>31</v>
      </c>
      <c r="D44" s="1147">
        <f>(23.45/57.3)*SIN((1/57.3)*360*(284+B44)/365)</f>
        <v>-0.36511355885833296</v>
      </c>
      <c r="E44" s="1148">
        <f>ACOS(-TAN(J$58)*TAN(D44))</f>
        <v>1.8216328906513901</v>
      </c>
      <c r="F44" s="1149">
        <f>37210*(1+0.033*COS(360*B44/(365*57.3)))*(COS(J$58)*COS(D44)*SIN(E44)+E44*SIN(J$58)*SIN(D44))/3600</f>
        <v>11.868826045157549</v>
      </c>
      <c r="G44" s="1149">
        <f>L28/F44</f>
        <v>0.68356653195491501</v>
      </c>
      <c r="H44" s="1148">
        <f>0.775+0.00606*(E44*57.3-90)-(0.505+0.00455*(E44*57.3-90))*COS((115*G44-103)/57.3)</f>
        <v>0.34261246882258756</v>
      </c>
      <c r="I44" s="1150">
        <f>H44*L28</f>
        <v>2.7796602728196582</v>
      </c>
      <c r="J44" s="1151">
        <f>L28-I44</f>
        <v>5.3334719852448575</v>
      </c>
      <c r="K44" s="1150">
        <f>ACOS(-TAN($K$42)*TAN(D44))</f>
        <v>1.523847904336268</v>
      </c>
      <c r="L44" s="1150">
        <f>MIN(E44,K44)</f>
        <v>1.523847904336268</v>
      </c>
      <c r="M44" s="1152">
        <f>(COS($K$42)*COS(D44)*SIN(L44)+L44*SIN($K$42)*SIN(D44))/(COS($J$58)*COS(D44)*SIN(E44)+E44*SIN($J$58)*SIN(D44))</f>
        <v>0.77242275336903932</v>
      </c>
      <c r="N44" s="1141">
        <f>'R7'!AP8*O$39</f>
        <v>6.9929088064867484</v>
      </c>
      <c r="O44" s="433">
        <f>N44*3600*1000</f>
        <v>25174471.703352295</v>
      </c>
      <c r="P44" s="436">
        <f>O44*C44</f>
        <v>780408622.8039211</v>
      </c>
      <c r="U44" t="s">
        <v>431</v>
      </c>
    </row>
    <row r="45" spans="1:21" x14ac:dyDescent="0.2">
      <c r="A45" s="181" t="s">
        <v>524</v>
      </c>
      <c r="B45" s="177">
        <v>47</v>
      </c>
      <c r="C45" s="430">
        <v>28</v>
      </c>
      <c r="D45" s="1147">
        <f t="shared" ref="D45:D55" si="2">(23.45/57.3)*SIN((1/57.3)*360*(284+B45)/365)</f>
        <v>-0.22622705892659814</v>
      </c>
      <c r="E45" s="1148">
        <f t="shared" ref="E45:E55" si="3">ACOS(-TAN(J$58)*TAN(D45))</f>
        <v>1.7208167856552727</v>
      </c>
      <c r="F45" s="1149">
        <f t="shared" ref="F45:F55" si="4">37210*(1+0.033*COS(360*B45/(365*57.3)))*(COS(J$58)*COS(D45)*SIN(E45)+E45*SIN(J$58)*SIN(D45))/3600</f>
        <v>10.765537098518692</v>
      </c>
      <c r="G45" s="1149">
        <f t="shared" ref="G45:G55" si="5">L29/F45</f>
        <v>0.66894280383089122</v>
      </c>
      <c r="H45" s="1148">
        <f t="shared" ref="H45:H55" si="6">0.775+0.00606*(E45*57.3-90)-(0.505+0.00455*(E45*57.3-90))*COS((115*G45-103)/57.3)</f>
        <v>0.33835107815802934</v>
      </c>
      <c r="I45" s="1150">
        <f t="shared" ref="I45:I55" si="7">H45*L29</f>
        <v>2.4366449565287098</v>
      </c>
      <c r="J45" s="1151">
        <f t="shared" ref="J45:J55" si="8">L29-I45</f>
        <v>4.764883614899861</v>
      </c>
      <c r="K45" s="1150">
        <f t="shared" ref="K45:K55" si="9">ACOS(-TAN($K$42)*TAN(D45))</f>
        <v>1.5425337040936489</v>
      </c>
      <c r="L45" s="1150">
        <f t="shared" ref="L45:L55" si="10">MIN(E45,K45)</f>
        <v>1.5425337040936489</v>
      </c>
      <c r="M45" s="1152">
        <f>(COS($K$42)*COS(D45)*SIN(L45)+L45*SIN($K$42)*SIN(D45))/(COS($J$58)*COS(D45)*SIN(E45)+E45*SIN($J$58)*SIN(D45))</f>
        <v>0.90804394746152672</v>
      </c>
      <c r="N45" s="1141">
        <f>'R7'!AP9*O$39</f>
        <v>6.7232397095635488</v>
      </c>
      <c r="O45" s="433">
        <f t="shared" ref="O45:O55" si="11">N45*3600*1000</f>
        <v>24203662.954428777</v>
      </c>
      <c r="P45" s="436">
        <f t="shared" ref="P45:P55" si="12">O45*C45</f>
        <v>677702562.7240057</v>
      </c>
    </row>
    <row r="46" spans="1:21" x14ac:dyDescent="0.2">
      <c r="A46" s="181" t="s">
        <v>525</v>
      </c>
      <c r="B46" s="177">
        <v>75</v>
      </c>
      <c r="C46" s="430">
        <v>31</v>
      </c>
      <c r="D46" s="1147">
        <f t="shared" si="2"/>
        <v>-4.2379612457038696E-2</v>
      </c>
      <c r="E46" s="1148">
        <f t="shared" si="3"/>
        <v>1.5983353806132206</v>
      </c>
      <c r="F46" s="1149">
        <f t="shared" si="4"/>
        <v>9.1213283016395099</v>
      </c>
      <c r="G46" s="1149">
        <f t="shared" si="5"/>
        <v>0.61858845559616493</v>
      </c>
      <c r="H46" s="1148">
        <f t="shared" si="6"/>
        <v>0.3495620362279393</v>
      </c>
      <c r="I46" s="1150">
        <f t="shared" si="7"/>
        <v>1.9723507913009775</v>
      </c>
      <c r="J46" s="1151">
        <f t="shared" si="8"/>
        <v>3.6699975957957971</v>
      </c>
      <c r="K46" s="1150">
        <f t="shared" si="9"/>
        <v>1.5655900110199408</v>
      </c>
      <c r="L46" s="1150">
        <f t="shared" si="10"/>
        <v>1.5655900110199408</v>
      </c>
      <c r="M46" s="1152">
        <f t="shared" ref="M46:M55" si="13">(COS($K$42)*COS(D46)*SIN(L46)+L46*SIN($K$42)*SIN(D46))/(COS($J$58)*COS(D46)*SIN(E46)+E46*SIN($J$58)*SIN(D46))</f>
        <v>1.1247089127409253</v>
      </c>
      <c r="N46" s="1141">
        <f>'R7'!AP10*O$39</f>
        <v>5.9190815903770435</v>
      </c>
      <c r="O46" s="433">
        <f t="shared" si="11"/>
        <v>21308693.725357357</v>
      </c>
      <c r="P46" s="436">
        <f t="shared" si="12"/>
        <v>660569505.48607802</v>
      </c>
    </row>
    <row r="47" spans="1:21" x14ac:dyDescent="0.2">
      <c r="A47" s="181" t="s">
        <v>526</v>
      </c>
      <c r="B47" s="177">
        <v>105</v>
      </c>
      <c r="C47" s="430">
        <v>30</v>
      </c>
      <c r="D47" s="1147">
        <f t="shared" si="2"/>
        <v>0.16412389552021314</v>
      </c>
      <c r="E47" s="1148">
        <f t="shared" si="3"/>
        <v>1.463047215939933</v>
      </c>
      <c r="F47" s="1149">
        <f t="shared" si="4"/>
        <v>7.1017867332130846</v>
      </c>
      <c r="G47" s="1149">
        <f t="shared" si="5"/>
        <v>0.53988573261459161</v>
      </c>
      <c r="H47" s="1148">
        <f t="shared" si="6"/>
        <v>0.3771852797840865</v>
      </c>
      <c r="I47" s="1150">
        <f t="shared" si="7"/>
        <v>1.4461861977684214</v>
      </c>
      <c r="J47" s="1151">
        <f>L31-I47</f>
        <v>2.3879671355649119</v>
      </c>
      <c r="K47" s="1150">
        <f t="shared" si="9"/>
        <v>1.5911310082984882</v>
      </c>
      <c r="L47" s="1150">
        <f t="shared" si="10"/>
        <v>1.463047215939933</v>
      </c>
      <c r="M47" s="1152">
        <f t="shared" si="13"/>
        <v>1.4480101967287669</v>
      </c>
      <c r="N47" s="1141">
        <f>'R7'!AP11*O$39</f>
        <v>4.4635398861181788</v>
      </c>
      <c r="O47" s="433">
        <f t="shared" si="11"/>
        <v>16068743.590025444</v>
      </c>
      <c r="P47" s="436">
        <f t="shared" si="12"/>
        <v>482062307.70076329</v>
      </c>
    </row>
    <row r="48" spans="1:21" x14ac:dyDescent="0.2">
      <c r="A48" s="181" t="s">
        <v>527</v>
      </c>
      <c r="B48" s="177">
        <v>135</v>
      </c>
      <c r="C48" s="430">
        <v>31</v>
      </c>
      <c r="D48" s="1147">
        <f t="shared" si="2"/>
        <v>0.32782657362170481</v>
      </c>
      <c r="E48" s="1148">
        <f t="shared" si="3"/>
        <v>1.3481187539886461</v>
      </c>
      <c r="F48" s="1149">
        <f t="shared" si="4"/>
        <v>5.4355954534334927</v>
      </c>
      <c r="G48" s="1149">
        <f t="shared" si="5"/>
        <v>0.46559364679702331</v>
      </c>
      <c r="H48" s="1148">
        <f t="shared" si="6"/>
        <v>0.40715297207932555</v>
      </c>
      <c r="I48" s="1150">
        <f t="shared" si="7"/>
        <v>1.0304140733202418</v>
      </c>
      <c r="J48" s="1151">
        <f t="shared" si="8"/>
        <v>1.5003646363571774</v>
      </c>
      <c r="K48" s="1150">
        <f t="shared" si="9"/>
        <v>1.6125641778344699</v>
      </c>
      <c r="L48" s="1150">
        <f t="shared" si="10"/>
        <v>1.3481187539886461</v>
      </c>
      <c r="M48" s="1152">
        <f t="shared" si="13"/>
        <v>1.8017462797084598</v>
      </c>
      <c r="N48" s="1141">
        <f>'R7'!AP12*O$39</f>
        <v>3.2631776071204586</v>
      </c>
      <c r="O48" s="433">
        <f t="shared" si="11"/>
        <v>11747439.385633649</v>
      </c>
      <c r="P48" s="436">
        <f t="shared" si="12"/>
        <v>364170620.95464313</v>
      </c>
    </row>
    <row r="49" spans="1:16" x14ac:dyDescent="0.2">
      <c r="A49" s="181" t="s">
        <v>528</v>
      </c>
      <c r="B49" s="177">
        <v>162</v>
      </c>
      <c r="C49" s="430">
        <v>30</v>
      </c>
      <c r="D49" s="1147">
        <f t="shared" si="2"/>
        <v>0.40285479246142486</v>
      </c>
      <c r="E49" s="1148">
        <f t="shared" si="3"/>
        <v>1.290409498772632</v>
      </c>
      <c r="F49" s="1149">
        <f t="shared" si="4"/>
        <v>4.6665559967163137</v>
      </c>
      <c r="G49" s="1149">
        <f t="shared" si="5"/>
        <v>0.42564659420445328</v>
      </c>
      <c r="H49" s="1148">
        <f t="shared" si="6"/>
        <v>0.42408231051881018</v>
      </c>
      <c r="I49" s="1150">
        <f t="shared" si="7"/>
        <v>0.84235624835198453</v>
      </c>
      <c r="J49" s="1151">
        <f t="shared" si="8"/>
        <v>1.1439474183146823</v>
      </c>
      <c r="K49" s="1150">
        <f t="shared" si="9"/>
        <v>1.6231424988535101</v>
      </c>
      <c r="L49" s="1150">
        <f t="shared" si="10"/>
        <v>1.290409498772632</v>
      </c>
      <c r="M49" s="1152">
        <f t="shared" si="13"/>
        <v>2.015596670139062</v>
      </c>
      <c r="N49" s="1141">
        <f>'R7'!AP13*O$39</f>
        <v>2.5139014478197828</v>
      </c>
      <c r="O49" s="433">
        <f>N49*3600*1000</f>
        <v>9050045.2121512163</v>
      </c>
      <c r="P49" s="436">
        <f t="shared" si="12"/>
        <v>271501356.36453646</v>
      </c>
    </row>
    <row r="50" spans="1:16" x14ac:dyDescent="0.2">
      <c r="A50" s="181" t="s">
        <v>529</v>
      </c>
      <c r="B50" s="177">
        <v>198</v>
      </c>
      <c r="C50" s="430">
        <v>31</v>
      </c>
      <c r="D50" s="1147">
        <f t="shared" si="2"/>
        <v>0.36980516887238346</v>
      </c>
      <c r="E50" s="1148">
        <f t="shared" si="3"/>
        <v>1.3163471540888541</v>
      </c>
      <c r="F50" s="1149">
        <f t="shared" si="4"/>
        <v>4.9806194432523698</v>
      </c>
      <c r="G50" s="1149">
        <f t="shared" si="5"/>
        <v>0.46896550444981799</v>
      </c>
      <c r="H50" s="1148">
        <f t="shared" si="6"/>
        <v>0.39925609671965556</v>
      </c>
      <c r="I50" s="1150">
        <f t="shared" si="7"/>
        <v>0.93255792018281114</v>
      </c>
      <c r="J50" s="1151">
        <f t="shared" si="8"/>
        <v>1.403180789494608</v>
      </c>
      <c r="K50" s="1150">
        <f t="shared" si="9"/>
        <v>1.6184068598664572</v>
      </c>
      <c r="L50" s="1150">
        <f t="shared" si="10"/>
        <v>1.3163471540888541</v>
      </c>
      <c r="M50" s="1152">
        <f t="shared" si="13"/>
        <v>1.916032851716009</v>
      </c>
      <c r="N50" s="1141">
        <f>'R7'!AP14*O$39</f>
        <v>2.9438078933591481</v>
      </c>
      <c r="O50" s="433">
        <f>N50*3600*1000</f>
        <v>10597708.416092934</v>
      </c>
      <c r="P50" s="436">
        <f t="shared" si="12"/>
        <v>328528960.89888096</v>
      </c>
    </row>
    <row r="51" spans="1:16" x14ac:dyDescent="0.2">
      <c r="A51" s="181" t="s">
        <v>530</v>
      </c>
      <c r="B51" s="177">
        <v>228</v>
      </c>
      <c r="C51" s="430">
        <v>31</v>
      </c>
      <c r="D51" s="1147">
        <f t="shared" si="2"/>
        <v>0.2350335938089558</v>
      </c>
      <c r="E51" s="1148">
        <f t="shared" si="3"/>
        <v>1.4146706370109108</v>
      </c>
      <c r="F51" s="1149">
        <f t="shared" si="4"/>
        <v>6.3220733535922289</v>
      </c>
      <c r="G51" s="1149">
        <f t="shared" si="5"/>
        <v>0.49461422613485989</v>
      </c>
      <c r="H51" s="1148">
        <f t="shared" si="6"/>
        <v>0.39895625547100072</v>
      </c>
      <c r="I51" s="1150">
        <f t="shared" si="7"/>
        <v>1.2475311917307343</v>
      </c>
      <c r="J51" s="1151">
        <f t="shared" si="8"/>
        <v>1.8794562276241042</v>
      </c>
      <c r="K51" s="1150">
        <f t="shared" si="9"/>
        <v>1.6002002719722856</v>
      </c>
      <c r="L51" s="1150">
        <f t="shared" si="10"/>
        <v>1.4146706370109108</v>
      </c>
      <c r="M51" s="1152">
        <f t="shared" si="13"/>
        <v>1.586565024924864</v>
      </c>
      <c r="N51" s="1141">
        <f>'R7'!AP15*O$39</f>
        <v>3.7360847749944623</v>
      </c>
      <c r="O51" s="433">
        <f t="shared" si="11"/>
        <v>13449905.189980065</v>
      </c>
      <c r="P51" s="436">
        <f t="shared" si="12"/>
        <v>416947060.889382</v>
      </c>
    </row>
    <row r="52" spans="1:16" x14ac:dyDescent="0.2">
      <c r="A52" s="181" t="s">
        <v>531</v>
      </c>
      <c r="B52" s="177">
        <v>258</v>
      </c>
      <c r="C52" s="430">
        <v>30</v>
      </c>
      <c r="D52" s="1147">
        <f t="shared" si="2"/>
        <v>3.8969098346458966E-2</v>
      </c>
      <c r="E52" s="1148">
        <f t="shared" si="3"/>
        <v>1.5454763265382581</v>
      </c>
      <c r="F52" s="1149">
        <f t="shared" si="4"/>
        <v>8.2469203744487203</v>
      </c>
      <c r="G52" s="1149">
        <f t="shared" si="5"/>
        <v>0.52940327642711305</v>
      </c>
      <c r="H52" s="1148">
        <f t="shared" si="6"/>
        <v>0.39651647032590864</v>
      </c>
      <c r="I52" s="1150">
        <f t="shared" si="7"/>
        <v>1.7311697618978332</v>
      </c>
      <c r="J52" s="1151">
        <f t="shared" si="8"/>
        <v>2.6347769047688336</v>
      </c>
      <c r="K52" s="1150">
        <f t="shared" si="9"/>
        <v>1.5755832160895076</v>
      </c>
      <c r="L52" s="1150">
        <f t="shared" si="10"/>
        <v>1.5454763265382581</v>
      </c>
      <c r="M52" s="1152">
        <f t="shared" si="13"/>
        <v>1.2407655741541359</v>
      </c>
      <c r="N52" s="1141">
        <f>'R7'!AP16*O$39</f>
        <v>4.7121335496585406</v>
      </c>
      <c r="O52" s="433">
        <f t="shared" si="11"/>
        <v>16963680.778770749</v>
      </c>
      <c r="P52" s="436">
        <f t="shared" si="12"/>
        <v>508910423.36312246</v>
      </c>
    </row>
    <row r="53" spans="1:16" x14ac:dyDescent="0.2">
      <c r="A53" s="181" t="s">
        <v>532</v>
      </c>
      <c r="B53" s="177">
        <v>288</v>
      </c>
      <c r="C53" s="430">
        <v>31</v>
      </c>
      <c r="D53" s="1147">
        <f t="shared" si="2"/>
        <v>-0.16725790114052419</v>
      </c>
      <c r="E53" s="1148">
        <f t="shared" si="3"/>
        <v>1.6806498494537163</v>
      </c>
      <c r="F53" s="1149">
        <f t="shared" si="4"/>
        <v>10.151904886635952</v>
      </c>
      <c r="G53" s="1149">
        <f t="shared" si="5"/>
        <v>0.59285139438853784</v>
      </c>
      <c r="H53" s="1148">
        <f t="shared" si="6"/>
        <v>0.37506609573674932</v>
      </c>
      <c r="I53" s="1150">
        <f t="shared" si="7"/>
        <v>2.2573619147855171</v>
      </c>
      <c r="J53" s="1151">
        <f t="shared" si="8"/>
        <v>3.7612090529564188</v>
      </c>
      <c r="K53" s="1150">
        <f t="shared" si="9"/>
        <v>1.5500660227652538</v>
      </c>
      <c r="L53" s="1150">
        <f t="shared" si="10"/>
        <v>1.5500660227652538</v>
      </c>
      <c r="M53" s="1152">
        <f t="shared" si="13"/>
        <v>0.97193948939989117</v>
      </c>
      <c r="N53" s="1141">
        <f>'R7'!AP17*O$39</f>
        <v>5.8368137978094516</v>
      </c>
      <c r="O53" s="433">
        <f t="shared" si="11"/>
        <v>21012529.672114026</v>
      </c>
      <c r="P53" s="436">
        <f t="shared" si="12"/>
        <v>651388419.83553481</v>
      </c>
    </row>
    <row r="54" spans="1:16" x14ac:dyDescent="0.2">
      <c r="A54" s="181" t="s">
        <v>533</v>
      </c>
      <c r="B54" s="177">
        <v>318</v>
      </c>
      <c r="C54" s="430">
        <v>30</v>
      </c>
      <c r="D54" s="1147">
        <f t="shared" si="2"/>
        <v>-0.32986677330118774</v>
      </c>
      <c r="E54" s="1148">
        <f t="shared" si="3"/>
        <v>1.7949906653394814</v>
      </c>
      <c r="F54" s="1149">
        <f t="shared" si="4"/>
        <v>11.525661095742887</v>
      </c>
      <c r="G54" s="1149">
        <f t="shared" si="5"/>
        <v>0.66034505700887713</v>
      </c>
      <c r="H54" s="1148">
        <f t="shared" si="6"/>
        <v>0.35108440081445713</v>
      </c>
      <c r="I54" s="1150">
        <f t="shared" si="7"/>
        <v>2.6720729472840961</v>
      </c>
      <c r="J54" s="1151">
        <f t="shared" si="8"/>
        <v>4.9388403860492378</v>
      </c>
      <c r="K54" s="1150">
        <f t="shared" si="9"/>
        <v>1.5287485762213626</v>
      </c>
      <c r="L54" s="1150">
        <f t="shared" si="10"/>
        <v>1.5287485762213626</v>
      </c>
      <c r="M54" s="1152">
        <f t="shared" si="13"/>
        <v>0.80518060422143611</v>
      </c>
      <c r="N54" s="1141">
        <f>'R7'!AP18*O$39</f>
        <v>6.7017252145608559</v>
      </c>
      <c r="O54" s="433">
        <f t="shared" si="11"/>
        <v>24126210.772419084</v>
      </c>
      <c r="P54" s="436">
        <f t="shared" si="12"/>
        <v>723786323.17257249</v>
      </c>
    </row>
    <row r="55" spans="1:16" ht="13.5" thickBot="1" x14ac:dyDescent="0.25">
      <c r="A55" s="183" t="s">
        <v>534</v>
      </c>
      <c r="B55" s="184">
        <v>344</v>
      </c>
      <c r="C55" s="431">
        <v>31</v>
      </c>
      <c r="D55" s="1147">
        <f t="shared" si="2"/>
        <v>-0.40220217570424188</v>
      </c>
      <c r="E55" s="1153">
        <f t="shared" si="3"/>
        <v>1.8506622508568595</v>
      </c>
      <c r="F55" s="1154">
        <f t="shared" si="4"/>
        <v>12.107060429968316</v>
      </c>
      <c r="G55" s="1154">
        <f t="shared" si="5"/>
        <v>0.68242051812691951</v>
      </c>
      <c r="H55" s="1148">
        <f t="shared" si="6"/>
        <v>0.34634982795784941</v>
      </c>
      <c r="I55" s="1155">
        <f t="shared" si="7"/>
        <v>2.8615791480855663</v>
      </c>
      <c r="J55" s="1156">
        <f t="shared" si="8"/>
        <v>5.4005273035273369</v>
      </c>
      <c r="K55" s="1155">
        <f t="shared" si="9"/>
        <v>1.518544935223755</v>
      </c>
      <c r="L55" s="1150">
        <f t="shared" si="10"/>
        <v>1.518544935223755</v>
      </c>
      <c r="M55" s="1157">
        <f t="shared" si="13"/>
        <v>0.73896210409720364</v>
      </c>
      <c r="N55" s="1141">
        <f>'R7'!AP19*O$39</f>
        <v>6.9483407867845575</v>
      </c>
      <c r="O55" s="438">
        <f t="shared" si="11"/>
        <v>25014026.832424406</v>
      </c>
      <c r="P55" s="439">
        <f t="shared" si="12"/>
        <v>775434831.80515659</v>
      </c>
    </row>
    <row r="57" spans="1:16" ht="13.5" thickBot="1" x14ac:dyDescent="0.25">
      <c r="B57" s="1221" t="s">
        <v>535</v>
      </c>
      <c r="C57" s="1221" t="s">
        <v>536</v>
      </c>
      <c r="D57" s="1221" t="s">
        <v>537</v>
      </c>
      <c r="E57" s="1221" t="s">
        <v>538</v>
      </c>
      <c r="F57" s="1221" t="s">
        <v>539</v>
      </c>
      <c r="G57" s="1221" t="s">
        <v>540</v>
      </c>
      <c r="H57" s="1221" t="s">
        <v>541</v>
      </c>
      <c r="J57" s="1221" t="s">
        <v>550</v>
      </c>
      <c r="N57" s="44">
        <f>((SUM(N44:N55))/12)*365*B7</f>
        <v>0</v>
      </c>
      <c r="O57" s="44" t="s">
        <v>375</v>
      </c>
    </row>
    <row r="58" spans="1:16" x14ac:dyDescent="0.2">
      <c r="A58" t="s">
        <v>547</v>
      </c>
      <c r="B58" s="169">
        <v>-23</v>
      </c>
      <c r="C58" s="170">
        <v>-33</v>
      </c>
      <c r="D58" s="170">
        <v>-33</v>
      </c>
      <c r="E58" s="170">
        <v>-37</v>
      </c>
      <c r="F58" s="170">
        <v>-39</v>
      </c>
      <c r="G58" s="170">
        <v>-41</v>
      </c>
      <c r="H58" s="171">
        <v>-53</v>
      </c>
      <c r="J58" s="20">
        <f>(CHOOSE('R1'!$J$2,B58,C58,D58,E58,F58,G58,H58))/57.3</f>
        <v>-0.5759162303664922</v>
      </c>
    </row>
    <row r="59" spans="1:16" x14ac:dyDescent="0.2">
      <c r="B59" s="188"/>
      <c r="C59" s="188"/>
      <c r="D59" s="188"/>
      <c r="E59" s="188"/>
      <c r="F59" s="188"/>
      <c r="G59" s="188"/>
      <c r="H59" s="188"/>
      <c r="J59" s="20"/>
      <c r="L59" s="1068" t="s">
        <v>1278</v>
      </c>
    </row>
    <row r="60" spans="1:16" x14ac:dyDescent="0.2">
      <c r="A60" t="s">
        <v>587</v>
      </c>
      <c r="B60" s="188"/>
      <c r="C60" s="188"/>
      <c r="D60" s="188"/>
      <c r="E60" s="188"/>
      <c r="F60" s="188"/>
      <c r="G60" s="188"/>
      <c r="H60" s="188"/>
    </row>
    <row r="61" spans="1:16" x14ac:dyDescent="0.2">
      <c r="A61" t="s">
        <v>588</v>
      </c>
      <c r="B61" s="1221">
        <v>0</v>
      </c>
      <c r="C61" s="188"/>
      <c r="D61" s="42">
        <v>1</v>
      </c>
      <c r="E61" s="20">
        <f>CHOOSE(D61,B61,B62)</f>
        <v>0</v>
      </c>
      <c r="F61" s="188"/>
      <c r="G61" s="188"/>
      <c r="H61" s="188"/>
    </row>
    <row r="62" spans="1:16" x14ac:dyDescent="0.2">
      <c r="A62" t="s">
        <v>589</v>
      </c>
      <c r="B62" s="1221">
        <v>1</v>
      </c>
      <c r="C62" s="188"/>
      <c r="D62" s="188"/>
      <c r="E62" s="188"/>
      <c r="F62" s="188"/>
      <c r="G62" s="188"/>
      <c r="H62" s="188"/>
    </row>
    <row r="63" spans="1:16" x14ac:dyDescent="0.2">
      <c r="C63" s="188"/>
      <c r="D63" s="188"/>
      <c r="E63" s="188"/>
      <c r="F63" s="188"/>
      <c r="G63" s="188"/>
      <c r="H63" s="188"/>
    </row>
    <row r="64" spans="1:16" x14ac:dyDescent="0.2">
      <c r="B64" s="188"/>
      <c r="C64" s="188"/>
      <c r="D64" s="188"/>
      <c r="E64" s="188"/>
      <c r="F64" s="188"/>
      <c r="G64" s="188"/>
      <c r="H64" s="188"/>
    </row>
    <row r="65" spans="1:10" ht="13.5" thickBot="1" x14ac:dyDescent="0.25">
      <c r="A65" t="s">
        <v>669</v>
      </c>
      <c r="B65" s="188"/>
      <c r="C65" s="188"/>
      <c r="D65" s="188"/>
      <c r="E65" s="188"/>
      <c r="F65" s="188"/>
      <c r="G65" s="188"/>
      <c r="H65" s="188"/>
    </row>
    <row r="66" spans="1:10" ht="13.5" thickBot="1" x14ac:dyDescent="0.25">
      <c r="A66" s="238" t="s">
        <v>542</v>
      </c>
      <c r="B66" s="112" t="s">
        <v>574</v>
      </c>
      <c r="C66" s="112" t="s">
        <v>575</v>
      </c>
      <c r="D66" s="112" t="s">
        <v>576</v>
      </c>
      <c r="E66" s="112" t="s">
        <v>577</v>
      </c>
      <c r="F66" s="112" t="s">
        <v>578</v>
      </c>
      <c r="G66" s="112" t="s">
        <v>579</v>
      </c>
      <c r="H66" s="113" t="s">
        <v>580</v>
      </c>
      <c r="J66" s="248" t="s">
        <v>670</v>
      </c>
    </row>
    <row r="67" spans="1:10" x14ac:dyDescent="0.2">
      <c r="A67" s="178" t="s">
        <v>523</v>
      </c>
      <c r="B67" s="239">
        <v>0</v>
      </c>
      <c r="C67" s="239">
        <v>0</v>
      </c>
      <c r="D67" s="239">
        <v>0</v>
      </c>
      <c r="E67" s="239">
        <v>0</v>
      </c>
      <c r="F67" s="239">
        <v>0</v>
      </c>
      <c r="G67" s="239">
        <v>0</v>
      </c>
      <c r="H67" s="240">
        <v>3.8124327117395294E-2</v>
      </c>
      <c r="J67" s="247">
        <f>(CHOOSE('R1'!$J$2,B67,C67,D67,E67,F67,G67,H67))</f>
        <v>0</v>
      </c>
    </row>
    <row r="68" spans="1:10" x14ac:dyDescent="0.2">
      <c r="A68" s="181" t="s">
        <v>524</v>
      </c>
      <c r="B68" s="241">
        <v>0</v>
      </c>
      <c r="C68" s="241">
        <v>0</v>
      </c>
      <c r="D68" s="241">
        <v>0</v>
      </c>
      <c r="E68" s="241">
        <v>0</v>
      </c>
      <c r="F68" s="241">
        <v>0</v>
      </c>
      <c r="G68" s="241">
        <v>0</v>
      </c>
      <c r="H68" s="242">
        <v>4.0430756288710325E-2</v>
      </c>
      <c r="J68" s="245">
        <f>(CHOOSE('R1'!$J$2,B68,C68,D68,E68,F68,G68,H68))</f>
        <v>0</v>
      </c>
    </row>
    <row r="69" spans="1:10" x14ac:dyDescent="0.2">
      <c r="A69" s="181" t="s">
        <v>525</v>
      </c>
      <c r="B69" s="241">
        <v>0</v>
      </c>
      <c r="C69" s="241">
        <v>0</v>
      </c>
      <c r="D69" s="241">
        <v>0</v>
      </c>
      <c r="E69" s="241">
        <v>0</v>
      </c>
      <c r="F69" s="241">
        <v>0</v>
      </c>
      <c r="G69" s="241">
        <v>4.7495327205257641E-2</v>
      </c>
      <c r="H69" s="242">
        <v>6.0195572937340611E-2</v>
      </c>
      <c r="J69" s="245">
        <f>(CHOOSE('R1'!$J$2,B69,C69,D69,E69,F69,G69,H69))</f>
        <v>0</v>
      </c>
    </row>
    <row r="70" spans="1:10" x14ac:dyDescent="0.2">
      <c r="A70" s="181" t="s">
        <v>526</v>
      </c>
      <c r="B70" s="241">
        <v>0</v>
      </c>
      <c r="C70" s="241">
        <v>0</v>
      </c>
      <c r="D70" s="241">
        <v>0</v>
      </c>
      <c r="E70" s="241">
        <v>8.7764594583941036E-2</v>
      </c>
      <c r="F70" s="241">
        <v>7.9982333022525415E-2</v>
      </c>
      <c r="G70" s="241">
        <v>8.3145599351015967E-2</v>
      </c>
      <c r="H70" s="242">
        <v>8.3311397186323549E-2</v>
      </c>
      <c r="J70" s="245">
        <f>(CHOOSE('R1'!$J$2,B70,C70,D70,E70,F70,G70,H70))</f>
        <v>0</v>
      </c>
    </row>
    <row r="71" spans="1:10" x14ac:dyDescent="0.2">
      <c r="A71" s="181" t="s">
        <v>527</v>
      </c>
      <c r="B71" s="241">
        <v>0</v>
      </c>
      <c r="C71" s="241">
        <v>0.13525775970624138</v>
      </c>
      <c r="D71" s="241">
        <v>0.15356645978667349</v>
      </c>
      <c r="E71" s="241">
        <v>0.12390318893137295</v>
      </c>
      <c r="F71" s="241">
        <v>0.12946295660139703</v>
      </c>
      <c r="G71" s="241">
        <v>0.1127472744314538</v>
      </c>
      <c r="H71" s="242">
        <v>0.10758600710591887</v>
      </c>
      <c r="J71" s="245">
        <f>(CHOOSE('R1'!$J$2,B71,C71,D71,E71,F71,G71,H71))</f>
        <v>0.15356645978667349</v>
      </c>
    </row>
    <row r="72" spans="1:10" x14ac:dyDescent="0.2">
      <c r="A72" s="181" t="s">
        <v>528</v>
      </c>
      <c r="B72" s="241">
        <v>0.27701857303333166</v>
      </c>
      <c r="C72" s="241">
        <v>0.20060366621487827</v>
      </c>
      <c r="D72" s="241">
        <v>0.23021401718847129</v>
      </c>
      <c r="E72" s="241">
        <v>0.16443296937206825</v>
      </c>
      <c r="F72" s="241">
        <v>0.16734553663444082</v>
      </c>
      <c r="G72" s="241">
        <v>0.1524317717154775</v>
      </c>
      <c r="H72" s="242">
        <v>0.12457224513330911</v>
      </c>
      <c r="J72" s="245">
        <f>(CHOOSE('R1'!$J$2,B72,C72,D72,E72,F72,G72,H72))</f>
        <v>0.23021401718847129</v>
      </c>
    </row>
    <row r="73" spans="1:10" x14ac:dyDescent="0.2">
      <c r="A73" s="181" t="s">
        <v>529</v>
      </c>
      <c r="B73" s="241">
        <v>0.38570780578835695</v>
      </c>
      <c r="C73" s="241">
        <v>0.25289577145274006</v>
      </c>
      <c r="D73" s="241">
        <v>0.24888748556938042</v>
      </c>
      <c r="E73" s="241">
        <v>0.18598683432535762</v>
      </c>
      <c r="F73" s="241">
        <v>0.18209746282573491</v>
      </c>
      <c r="G73" s="241">
        <v>0.15949988763367484</v>
      </c>
      <c r="H73" s="242">
        <v>0.12980210113469071</v>
      </c>
      <c r="J73" s="245">
        <f>(CHOOSE('R1'!$J$2,B73,C73,D73,E73,F73,G73,H73))</f>
        <v>0.24888748556938042</v>
      </c>
    </row>
    <row r="74" spans="1:10" x14ac:dyDescent="0.2">
      <c r="A74" s="181" t="s">
        <v>530</v>
      </c>
      <c r="B74" s="241">
        <v>0.33727362117831144</v>
      </c>
      <c r="C74" s="241">
        <v>0.23554517403466271</v>
      </c>
      <c r="D74" s="241">
        <v>0.19964577145845461</v>
      </c>
      <c r="E74" s="241">
        <v>0.17691670936970322</v>
      </c>
      <c r="F74" s="241">
        <v>0.17003811486807022</v>
      </c>
      <c r="G74" s="241">
        <v>0.15677843005059225</v>
      </c>
      <c r="H74" s="242">
        <v>0.12079644230514784</v>
      </c>
      <c r="J74" s="245">
        <f>(CHOOSE('R1'!$J$2,B74,C74,D74,E74,F74,G74,H74))</f>
        <v>0.19964577145845461</v>
      </c>
    </row>
    <row r="75" spans="1:10" x14ac:dyDescent="0.2">
      <c r="A75" s="181" t="s">
        <v>531</v>
      </c>
      <c r="B75" s="241">
        <v>0</v>
      </c>
      <c r="C75" s="241">
        <v>0.17569762859147756</v>
      </c>
      <c r="D75" s="241">
        <v>0.11967793817281222</v>
      </c>
      <c r="E75" s="241">
        <v>0.15271788403169229</v>
      </c>
      <c r="F75" s="241">
        <v>0.13194614843532743</v>
      </c>
      <c r="G75" s="241">
        <v>0.13193176897483538</v>
      </c>
      <c r="H75" s="242">
        <v>0.10416953925734652</v>
      </c>
      <c r="J75" s="245">
        <f>(CHOOSE('R1'!$J$2,B75,C75,D75,E75,F75,G75,H75))</f>
        <v>0.11967793817281222</v>
      </c>
    </row>
    <row r="76" spans="1:10" x14ac:dyDescent="0.2">
      <c r="A76" s="181" t="s">
        <v>532</v>
      </c>
      <c r="B76" s="241">
        <v>0</v>
      </c>
      <c r="C76" s="241">
        <v>0</v>
      </c>
      <c r="D76" s="241">
        <v>4.8008327824207928E-2</v>
      </c>
      <c r="E76" s="241">
        <v>0.10827781938586464</v>
      </c>
      <c r="F76" s="241">
        <v>9.5359146750421231E-2</v>
      </c>
      <c r="G76" s="241">
        <v>9.9019398264625483E-2</v>
      </c>
      <c r="H76" s="242">
        <v>7.9468741338703838E-2</v>
      </c>
      <c r="J76" s="245">
        <f>(CHOOSE('R1'!$J$2,B76,C76,D76,E76,F76,G76,H76))</f>
        <v>4.8008327824207928E-2</v>
      </c>
    </row>
    <row r="77" spans="1:10" x14ac:dyDescent="0.2">
      <c r="A77" s="181" t="s">
        <v>533</v>
      </c>
      <c r="B77" s="241">
        <v>0</v>
      </c>
      <c r="C77" s="241">
        <v>0</v>
      </c>
      <c r="D77" s="241">
        <v>0</v>
      </c>
      <c r="E77" s="241">
        <v>0</v>
      </c>
      <c r="F77" s="241">
        <v>4.3768300862083068E-2</v>
      </c>
      <c r="G77" s="241">
        <v>5.6950542373067167E-2</v>
      </c>
      <c r="H77" s="242">
        <v>6.3834884184107654E-2</v>
      </c>
      <c r="J77" s="245">
        <f>(CHOOSE('R1'!$J$2,B77,C77,D77,E77,F77,G77,H77))</f>
        <v>0</v>
      </c>
    </row>
    <row r="78" spans="1:10" ht="13.5" thickBot="1" x14ac:dyDescent="0.25">
      <c r="A78" s="183" t="s">
        <v>534</v>
      </c>
      <c r="B78" s="243">
        <v>0</v>
      </c>
      <c r="C78" s="243">
        <v>0</v>
      </c>
      <c r="D78" s="243">
        <v>0</v>
      </c>
      <c r="E78" s="243">
        <v>0</v>
      </c>
      <c r="F78" s="243">
        <v>0</v>
      </c>
      <c r="G78" s="243">
        <v>0</v>
      </c>
      <c r="H78" s="244">
        <v>4.7707986011005676E-2</v>
      </c>
      <c r="J78" s="246">
        <f>(CHOOSE('R1'!$J$2,B78,C78,D78,E78,F78,G78,H78))</f>
        <v>0</v>
      </c>
    </row>
    <row r="80" spans="1:10" ht="25.5" x14ac:dyDescent="0.2">
      <c r="A80" s="193" t="s">
        <v>671</v>
      </c>
      <c r="B80" s="249">
        <f>'Vivienda Objeto'!H108</f>
        <v>12995.241823759859</v>
      </c>
      <c r="C80" s="1221" t="s">
        <v>375</v>
      </c>
    </row>
    <row r="81" spans="1:12" ht="13.5" thickBot="1" x14ac:dyDescent="0.25"/>
    <row r="82" spans="1:12" ht="34.5" customHeight="1" thickBot="1" x14ac:dyDescent="0.25">
      <c r="B82" s="301" t="s">
        <v>672</v>
      </c>
      <c r="C82" s="302" t="s">
        <v>673</v>
      </c>
    </row>
    <row r="83" spans="1:12" ht="13.5" thickBot="1" x14ac:dyDescent="0.25">
      <c r="A83" s="308" t="s">
        <v>542</v>
      </c>
      <c r="B83" s="271" t="s">
        <v>562</v>
      </c>
      <c r="C83" s="113" t="s">
        <v>563</v>
      </c>
      <c r="L83"/>
    </row>
    <row r="84" spans="1:12" x14ac:dyDescent="0.2">
      <c r="A84" s="305" t="s">
        <v>523</v>
      </c>
      <c r="B84" s="306">
        <f>B$80*J67</f>
        <v>0</v>
      </c>
      <c r="C84" s="307">
        <f>B84*3600*1000</f>
        <v>0</v>
      </c>
      <c r="L84"/>
    </row>
    <row r="85" spans="1:12" x14ac:dyDescent="0.2">
      <c r="A85" s="299" t="s">
        <v>524</v>
      </c>
      <c r="B85" s="303">
        <f t="shared" ref="B85:B95" si="14">B$80*J68</f>
        <v>0</v>
      </c>
      <c r="C85" s="250">
        <f t="shared" ref="C85:C95" si="15">B85*3600*1000</f>
        <v>0</v>
      </c>
      <c r="L85"/>
    </row>
    <row r="86" spans="1:12" x14ac:dyDescent="0.2">
      <c r="A86" s="299" t="s">
        <v>525</v>
      </c>
      <c r="B86" s="303">
        <f t="shared" si="14"/>
        <v>0</v>
      </c>
      <c r="C86" s="250">
        <f t="shared" si="15"/>
        <v>0</v>
      </c>
      <c r="L86"/>
    </row>
    <row r="87" spans="1:12" x14ac:dyDescent="0.2">
      <c r="A87" s="299" t="s">
        <v>526</v>
      </c>
      <c r="B87" s="303">
        <f t="shared" si="14"/>
        <v>0</v>
      </c>
      <c r="C87" s="250">
        <f>B87*3600*1000</f>
        <v>0</v>
      </c>
      <c r="L87"/>
    </row>
    <row r="88" spans="1:12" x14ac:dyDescent="0.2">
      <c r="A88" s="299" t="s">
        <v>527</v>
      </c>
      <c r="B88" s="303">
        <f t="shared" si="14"/>
        <v>1995.6332809465159</v>
      </c>
      <c r="C88" s="250">
        <f t="shared" si="15"/>
        <v>7184279811.4074574</v>
      </c>
      <c r="L88"/>
    </row>
    <row r="89" spans="1:12" x14ac:dyDescent="0.2">
      <c r="A89" s="299" t="s">
        <v>528</v>
      </c>
      <c r="B89" s="303">
        <f t="shared" si="14"/>
        <v>2991.6868245833934</v>
      </c>
      <c r="C89" s="250">
        <f t="shared" si="15"/>
        <v>10770072568.500217</v>
      </c>
      <c r="L89"/>
    </row>
    <row r="90" spans="1:12" x14ac:dyDescent="0.2">
      <c r="A90" s="299" t="s">
        <v>529</v>
      </c>
      <c r="B90" s="303">
        <f t="shared" si="14"/>
        <v>3234.3530618816408</v>
      </c>
      <c r="C90" s="250">
        <f t="shared" si="15"/>
        <v>11643671022.773907</v>
      </c>
      <c r="L90"/>
    </row>
    <row r="91" spans="1:12" x14ac:dyDescent="0.2">
      <c r="A91" s="299" t="s">
        <v>530</v>
      </c>
      <c r="B91" s="303">
        <f t="shared" si="14"/>
        <v>2594.4450791937115</v>
      </c>
      <c r="C91" s="250">
        <f t="shared" si="15"/>
        <v>9340002285.0973606</v>
      </c>
      <c r="L91"/>
    </row>
    <row r="92" spans="1:12" x14ac:dyDescent="0.2">
      <c r="A92" s="299" t="s">
        <v>531</v>
      </c>
      <c r="B92" s="303">
        <f t="shared" si="14"/>
        <v>1555.2437475246759</v>
      </c>
      <c r="C92" s="250">
        <f t="shared" si="15"/>
        <v>5598877491.0888329</v>
      </c>
      <c r="L92"/>
    </row>
    <row r="93" spans="1:12" x14ac:dyDescent="0.2">
      <c r="A93" s="299" t="s">
        <v>532</v>
      </c>
      <c r="B93" s="303">
        <f t="shared" si="14"/>
        <v>623.87982962992101</v>
      </c>
      <c r="C93" s="250">
        <f t="shared" si="15"/>
        <v>2245967386.6677155</v>
      </c>
      <c r="L93"/>
    </row>
    <row r="94" spans="1:12" x14ac:dyDescent="0.2">
      <c r="A94" s="299" t="s">
        <v>533</v>
      </c>
      <c r="B94" s="303">
        <f t="shared" si="14"/>
        <v>0</v>
      </c>
      <c r="C94" s="250">
        <f t="shared" si="15"/>
        <v>0</v>
      </c>
      <c r="L94"/>
    </row>
    <row r="95" spans="1:12" ht="13.5" thickBot="1" x14ac:dyDescent="0.25">
      <c r="A95" s="300" t="s">
        <v>534</v>
      </c>
      <c r="B95" s="304">
        <f t="shared" si="14"/>
        <v>0</v>
      </c>
      <c r="C95" s="251">
        <f t="shared" si="15"/>
        <v>0</v>
      </c>
      <c r="L95"/>
    </row>
    <row r="97" spans="1:10" ht="26.25" thickBot="1" x14ac:dyDescent="0.25">
      <c r="A97" s="193" t="s">
        <v>573</v>
      </c>
    </row>
    <row r="98" spans="1:10" ht="13.5" thickBot="1" x14ac:dyDescent="0.25">
      <c r="A98" s="255"/>
      <c r="B98" s="262" t="s">
        <v>574</v>
      </c>
      <c r="C98" s="263" t="s">
        <v>575</v>
      </c>
      <c r="D98" s="263" t="s">
        <v>576</v>
      </c>
      <c r="E98" s="263" t="s">
        <v>577</v>
      </c>
      <c r="F98" s="263" t="s">
        <v>578</v>
      </c>
      <c r="G98" s="263" t="s">
        <v>579</v>
      </c>
      <c r="H98" s="264" t="s">
        <v>580</v>
      </c>
      <c r="J98" s="194" t="s">
        <v>674</v>
      </c>
    </row>
    <row r="99" spans="1:10" x14ac:dyDescent="0.2">
      <c r="A99" s="256" t="s">
        <v>523</v>
      </c>
      <c r="B99" s="259">
        <v>18.7</v>
      </c>
      <c r="C99" s="260">
        <v>16</v>
      </c>
      <c r="D99" s="260">
        <v>20.7</v>
      </c>
      <c r="E99" s="260">
        <v>15.7</v>
      </c>
      <c r="F99" s="260">
        <v>14.8</v>
      </c>
      <c r="G99" s="260">
        <v>12.9</v>
      </c>
      <c r="H99" s="261">
        <v>9.6</v>
      </c>
      <c r="J99" s="252">
        <f>(CHOOSE('R1'!$J$2,B99,C99,D99,E99,F99,G99,H99))</f>
        <v>20.7</v>
      </c>
    </row>
    <row r="100" spans="1:10" x14ac:dyDescent="0.2">
      <c r="A100" s="257" t="s">
        <v>524</v>
      </c>
      <c r="B100" s="172">
        <v>19.600000000000001</v>
      </c>
      <c r="C100" s="168">
        <v>16.899999999999999</v>
      </c>
      <c r="D100" s="168">
        <v>20.3</v>
      </c>
      <c r="E100" s="168">
        <v>16.399999999999999</v>
      </c>
      <c r="F100" s="168">
        <v>15.8</v>
      </c>
      <c r="G100" s="168">
        <v>13.7</v>
      </c>
      <c r="H100" s="173">
        <v>10.199999999999999</v>
      </c>
      <c r="J100" s="236">
        <f>(CHOOSE('R1'!$J$2,B100,C100,D100,E100,F100,G100,H100))</f>
        <v>20.3</v>
      </c>
    </row>
    <row r="101" spans="1:10" x14ac:dyDescent="0.2">
      <c r="A101" s="257" t="s">
        <v>525</v>
      </c>
      <c r="B101" s="172">
        <v>19.7</v>
      </c>
      <c r="C101" s="168">
        <v>16.899999999999999</v>
      </c>
      <c r="D101" s="168">
        <v>20</v>
      </c>
      <c r="E101" s="168">
        <v>16</v>
      </c>
      <c r="F101" s="168">
        <v>15.5</v>
      </c>
      <c r="G101" s="168">
        <v>13.5</v>
      </c>
      <c r="H101" s="173">
        <v>9.8000000000000007</v>
      </c>
      <c r="J101" s="236">
        <f>(CHOOSE('R1'!$J$2,B101,C101,D101,E101,F101,G101,H101))</f>
        <v>20</v>
      </c>
    </row>
    <row r="102" spans="1:10" x14ac:dyDescent="0.2">
      <c r="A102" s="257" t="s">
        <v>526</v>
      </c>
      <c r="B102" s="172">
        <v>18.7</v>
      </c>
      <c r="C102" s="168">
        <v>16</v>
      </c>
      <c r="D102" s="168">
        <v>18.399999999999999</v>
      </c>
      <c r="E102" s="168">
        <v>14.7</v>
      </c>
      <c r="F102" s="168">
        <v>13.9</v>
      </c>
      <c r="G102" s="168">
        <v>12.2</v>
      </c>
      <c r="H102" s="173">
        <v>8.6</v>
      </c>
      <c r="J102" s="236">
        <f>(CHOOSE('R1'!$J$2,B102,C102,D102,E102,F102,G102,H102))</f>
        <v>18.399999999999999</v>
      </c>
    </row>
    <row r="103" spans="1:10" x14ac:dyDescent="0.2">
      <c r="A103" s="257" t="s">
        <v>527</v>
      </c>
      <c r="B103" s="172">
        <v>17.3</v>
      </c>
      <c r="C103" s="168">
        <v>14.5</v>
      </c>
      <c r="D103" s="168">
        <v>16.100000000000001</v>
      </c>
      <c r="E103" s="168">
        <v>13</v>
      </c>
      <c r="F103" s="168">
        <v>11.7</v>
      </c>
      <c r="G103" s="168">
        <v>10.6</v>
      </c>
      <c r="H103" s="173">
        <v>6.5</v>
      </c>
      <c r="J103" s="236">
        <f>(CHOOSE('R1'!$J$2,B103,C103,D103,E103,F103,G103,H103))</f>
        <v>16.100000000000001</v>
      </c>
    </row>
    <row r="104" spans="1:10" x14ac:dyDescent="0.2">
      <c r="A104" s="257" t="s">
        <v>528</v>
      </c>
      <c r="B104" s="172">
        <v>15.8</v>
      </c>
      <c r="C104" s="168">
        <v>13</v>
      </c>
      <c r="D104" s="168">
        <v>13.4</v>
      </c>
      <c r="E104" s="168">
        <v>11.4</v>
      </c>
      <c r="F104" s="168">
        <v>9.8000000000000007</v>
      </c>
      <c r="G104" s="168">
        <v>8.8000000000000007</v>
      </c>
      <c r="H104" s="173">
        <v>4.3</v>
      </c>
      <c r="J104" s="236">
        <f>(CHOOSE('R1'!$J$2,B104,C104,D104,E104,F104,G104,H104))</f>
        <v>13.4</v>
      </c>
    </row>
    <row r="105" spans="1:10" x14ac:dyDescent="0.2">
      <c r="A105" s="257" t="s">
        <v>529</v>
      </c>
      <c r="B105" s="172">
        <v>14.8</v>
      </c>
      <c r="C105" s="168">
        <v>12</v>
      </c>
      <c r="D105" s="168">
        <v>11.6</v>
      </c>
      <c r="E105" s="168">
        <v>10.199999999999999</v>
      </c>
      <c r="F105" s="168">
        <v>8.5</v>
      </c>
      <c r="G105" s="168">
        <v>7.6</v>
      </c>
      <c r="H105" s="173">
        <v>2.5</v>
      </c>
      <c r="J105" s="236">
        <f>(CHOOSE('R1'!$J$2,B105,C105,D105,E105,F105,G105,H105))</f>
        <v>11.6</v>
      </c>
    </row>
    <row r="106" spans="1:10" x14ac:dyDescent="0.2">
      <c r="A106" s="257" t="s">
        <v>530</v>
      </c>
      <c r="B106" s="172">
        <v>14.3</v>
      </c>
      <c r="C106" s="168">
        <v>11.6</v>
      </c>
      <c r="D106" s="168">
        <v>10.8</v>
      </c>
      <c r="E106" s="168">
        <v>9.8000000000000007</v>
      </c>
      <c r="F106" s="168">
        <v>8</v>
      </c>
      <c r="G106" s="168">
        <v>7.1</v>
      </c>
      <c r="H106" s="173">
        <v>2</v>
      </c>
      <c r="J106" s="236">
        <f>(CHOOSE('R1'!$J$2,B106,C106,D106,E106,F106,G106,H106))</f>
        <v>10.8</v>
      </c>
    </row>
    <row r="107" spans="1:10" x14ac:dyDescent="0.2">
      <c r="A107" s="257" t="s">
        <v>531</v>
      </c>
      <c r="B107" s="172">
        <v>14.4</v>
      </c>
      <c r="C107" s="168">
        <v>11.8</v>
      </c>
      <c r="D107" s="168">
        <v>11.5</v>
      </c>
      <c r="E107" s="168">
        <v>10.1</v>
      </c>
      <c r="F107" s="168">
        <v>8.4</v>
      </c>
      <c r="G107" s="168">
        <v>7.4</v>
      </c>
      <c r="H107" s="173">
        <v>2.9</v>
      </c>
      <c r="J107" s="236">
        <f>(CHOOSE('R1'!$J$2,B107,C107,D107,E107,F107,G107,H107))</f>
        <v>11.5</v>
      </c>
    </row>
    <row r="108" spans="1:10" x14ac:dyDescent="0.2">
      <c r="A108" s="257" t="s">
        <v>532</v>
      </c>
      <c r="B108" s="172">
        <v>15</v>
      </c>
      <c r="C108" s="168">
        <v>12.6</v>
      </c>
      <c r="D108" s="168">
        <v>13.6</v>
      </c>
      <c r="E108" s="168">
        <v>11.1</v>
      </c>
      <c r="F108" s="168">
        <v>9.6999999999999993</v>
      </c>
      <c r="G108" s="168">
        <v>8.5</v>
      </c>
      <c r="H108" s="173">
        <v>4.5</v>
      </c>
      <c r="J108" s="236">
        <f>(CHOOSE('R1'!$J$2,B108,C108,D108,E108,F108,G108,H108))</f>
        <v>13.6</v>
      </c>
    </row>
    <row r="109" spans="1:10" x14ac:dyDescent="0.2">
      <c r="A109" s="257" t="s">
        <v>533</v>
      </c>
      <c r="B109" s="172">
        <v>16</v>
      </c>
      <c r="C109" s="168">
        <v>13.6</v>
      </c>
      <c r="D109" s="168">
        <v>17</v>
      </c>
      <c r="E109" s="168">
        <v>12.5</v>
      </c>
      <c r="F109" s="168">
        <v>11.2</v>
      </c>
      <c r="G109" s="168">
        <v>9.8000000000000007</v>
      </c>
      <c r="H109" s="173">
        <v>6.4</v>
      </c>
      <c r="J109" s="236">
        <f>(CHOOSE('R1'!$J$2,B109,C109,D109,E109,F109,G109,H109))</f>
        <v>17</v>
      </c>
    </row>
    <row r="110" spans="1:10" ht="13.5" thickBot="1" x14ac:dyDescent="0.25">
      <c r="A110" s="258" t="s">
        <v>534</v>
      </c>
      <c r="B110" s="174">
        <v>17.3</v>
      </c>
      <c r="C110" s="175">
        <v>14.8</v>
      </c>
      <c r="D110" s="175">
        <v>19.3</v>
      </c>
      <c r="E110" s="175">
        <v>14.2</v>
      </c>
      <c r="F110" s="175">
        <v>13.1</v>
      </c>
      <c r="G110" s="175">
        <v>11.5</v>
      </c>
      <c r="H110" s="176">
        <v>8.1999999999999993</v>
      </c>
      <c r="J110" s="237">
        <f>(CHOOSE('R1'!$J$2,B110,C110,D110,E110,F110,G110,H110))</f>
        <v>19.3</v>
      </c>
    </row>
    <row r="112" spans="1:10" x14ac:dyDescent="0.2">
      <c r="B112" s="1221" t="s">
        <v>675</v>
      </c>
      <c r="C112" s="40">
        <f>'Vivienda Objeto'!H115</f>
        <v>5.2424786537099459</v>
      </c>
    </row>
    <row r="114" spans="1:34" ht="13.5" thickBot="1" x14ac:dyDescent="0.25">
      <c r="A114" s="194" t="s">
        <v>581</v>
      </c>
      <c r="B114" s="1221">
        <v>40</v>
      </c>
      <c r="C114" s="1221" t="s">
        <v>563</v>
      </c>
      <c r="D114" s="1221" t="s">
        <v>563</v>
      </c>
    </row>
    <row r="115" spans="1:34" s="232" customFormat="1" ht="26.25" thickBot="1" x14ac:dyDescent="0.25">
      <c r="B115" s="1223" t="s">
        <v>582</v>
      </c>
      <c r="C115" s="1223" t="s">
        <v>584</v>
      </c>
      <c r="D115" s="1223" t="s">
        <v>586</v>
      </c>
      <c r="E115" s="1223" t="s">
        <v>590</v>
      </c>
      <c r="G115" s="276" t="s">
        <v>676</v>
      </c>
      <c r="H115" s="277" t="s">
        <v>677</v>
      </c>
      <c r="I115" s="1223"/>
      <c r="J115" s="285" t="s">
        <v>683</v>
      </c>
      <c r="K115" s="278"/>
      <c r="L115" s="1223"/>
      <c r="M115" s="1223"/>
      <c r="N115" s="1223"/>
      <c r="O115" s="1223"/>
      <c r="P115" s="1223"/>
      <c r="Q115" s="1223"/>
      <c r="R115" s="234"/>
      <c r="S115" s="234"/>
      <c r="T115" s="234"/>
      <c r="U115" s="234"/>
      <c r="V115" s="233"/>
      <c r="X115" s="1223"/>
      <c r="Y115" s="1223"/>
      <c r="Z115" s="1223"/>
      <c r="AA115" s="1223"/>
      <c r="AB115" s="1223"/>
      <c r="AC115" s="1223"/>
      <c r="AD115" s="1223"/>
      <c r="AE115" s="1223"/>
      <c r="AF115" s="1223"/>
      <c r="AG115" s="1223"/>
      <c r="AH115" s="1223"/>
    </row>
    <row r="116" spans="1:34" x14ac:dyDescent="0.2">
      <c r="A116" s="256" t="s">
        <v>523</v>
      </c>
      <c r="B116" s="441">
        <f>J99</f>
        <v>20.7</v>
      </c>
      <c r="C116" s="442">
        <f>C$112*41*C44*4180*(43-J99)</f>
        <v>621102627.043414</v>
      </c>
      <c r="D116" s="442">
        <f>C84*E$61</f>
        <v>0</v>
      </c>
      <c r="E116" s="443">
        <f>C116+D116*E$61</f>
        <v>621102627.043414</v>
      </c>
      <c r="G116" s="269">
        <f t="shared" ref="G116:G127" si="16">B$7*H$4*B$8*(100-J14)*C44*24*3600</f>
        <v>0</v>
      </c>
      <c r="H116" s="270">
        <f>B$7*G$4*B$8*B$9*P44</f>
        <v>0</v>
      </c>
      <c r="I116" s="186"/>
      <c r="J116" s="289">
        <f t="shared" ref="J116:J127" si="17">(11.6+1.18*50+3.86*J99-2.32*J14)/(100-J14)</f>
        <v>1.302546816479401</v>
      </c>
      <c r="K116" s="288"/>
      <c r="M116" s="16"/>
      <c r="N116" s="40"/>
      <c r="O116"/>
      <c r="P116" s="40"/>
      <c r="Q116" s="16"/>
      <c r="R116" s="18"/>
      <c r="S116" s="16"/>
      <c r="T116" s="16"/>
      <c r="U116" s="18"/>
      <c r="V116" s="18"/>
      <c r="X116" s="16"/>
      <c r="Z116" s="1221"/>
      <c r="AA116" s="16"/>
      <c r="AB116" s="18"/>
      <c r="AC116" s="18"/>
      <c r="AD116" s="18"/>
      <c r="AE116" s="200"/>
      <c r="AF116" s="18"/>
      <c r="AG116" s="16"/>
      <c r="AH116" s="18"/>
    </row>
    <row r="117" spans="1:34" x14ac:dyDescent="0.2">
      <c r="A117" s="257" t="s">
        <v>524</v>
      </c>
      <c r="B117" s="435">
        <f t="shared" ref="B117:B127" si="18">J100</f>
        <v>20.3</v>
      </c>
      <c r="C117" s="440">
        <f t="shared" ref="C117:C127" si="19">C$112*41*C45*4180*(43-J100)</f>
        <v>571058628.30723834</v>
      </c>
      <c r="D117" s="440">
        <f t="shared" ref="D117:D127" si="20">C85*E$61</f>
        <v>0</v>
      </c>
      <c r="E117" s="436">
        <f t="shared" ref="E117:E127" si="21">C117+D117*E$61</f>
        <v>571058628.30723834</v>
      </c>
      <c r="G117" s="265">
        <f t="shared" si="16"/>
        <v>0</v>
      </c>
      <c r="H117" s="266">
        <f t="shared" ref="H117:H127" si="22">B$7*G$4*B$8*B$9*P45</f>
        <v>0</v>
      </c>
      <c r="I117" s="186"/>
      <c r="J117" s="290">
        <f t="shared" si="17"/>
        <v>1.2922524752475248</v>
      </c>
      <c r="K117" s="288"/>
      <c r="M117" s="16"/>
      <c r="N117" s="40"/>
      <c r="O117" s="40"/>
      <c r="P117" s="40"/>
      <c r="Q117" s="16"/>
      <c r="R117" s="18"/>
      <c r="S117" s="16"/>
      <c r="T117" s="16"/>
      <c r="U117" s="18"/>
      <c r="V117" s="18"/>
      <c r="X117" s="16"/>
      <c r="Z117" s="1221"/>
      <c r="AA117" s="16"/>
      <c r="AB117" s="18"/>
      <c r="AC117" s="18"/>
      <c r="AD117" s="18"/>
      <c r="AE117" s="200"/>
      <c r="AF117" s="18"/>
      <c r="AG117" s="16"/>
      <c r="AH117" s="18"/>
    </row>
    <row r="118" spans="1:34" x14ac:dyDescent="0.2">
      <c r="A118" s="257" t="s">
        <v>525</v>
      </c>
      <c r="B118" s="435">
        <f t="shared" si="18"/>
        <v>20</v>
      </c>
      <c r="C118" s="440">
        <f t="shared" si="19"/>
        <v>640599122.06271386</v>
      </c>
      <c r="D118" s="440">
        <f t="shared" si="20"/>
        <v>0</v>
      </c>
      <c r="E118" s="436">
        <f t="shared" si="21"/>
        <v>640599122.06271386</v>
      </c>
      <c r="G118" s="265">
        <f t="shared" si="16"/>
        <v>0</v>
      </c>
      <c r="H118" s="266">
        <f t="shared" si="22"/>
        <v>0</v>
      </c>
      <c r="I118" s="186"/>
      <c r="J118" s="290">
        <f t="shared" si="17"/>
        <v>1.3030917874396137</v>
      </c>
      <c r="K118" s="288"/>
      <c r="M118" s="16"/>
      <c r="N118" s="40"/>
      <c r="O118" s="40"/>
      <c r="P118" s="40"/>
      <c r="Q118" s="16"/>
      <c r="R118" s="18"/>
      <c r="S118" s="16"/>
      <c r="T118" s="16"/>
      <c r="U118" s="18"/>
      <c r="V118" s="18"/>
      <c r="X118" s="16"/>
      <c r="Z118" s="1221"/>
      <c r="AA118" s="16"/>
      <c r="AB118" s="18"/>
      <c r="AC118" s="18"/>
      <c r="AD118" s="18"/>
      <c r="AE118" s="200"/>
      <c r="AF118" s="18"/>
      <c r="AG118" s="16"/>
      <c r="AH118" s="18"/>
    </row>
    <row r="119" spans="1:34" x14ac:dyDescent="0.2">
      <c r="A119" s="257" t="s">
        <v>526</v>
      </c>
      <c r="B119" s="435">
        <f t="shared" si="18"/>
        <v>18.399999999999999</v>
      </c>
      <c r="C119" s="440">
        <f t="shared" si="19"/>
        <v>663060521.85453415</v>
      </c>
      <c r="D119" s="440">
        <f t="shared" si="20"/>
        <v>0</v>
      </c>
      <c r="E119" s="436">
        <f t="shared" si="21"/>
        <v>663060521.85453415</v>
      </c>
      <c r="G119" s="265">
        <f t="shared" si="16"/>
        <v>0</v>
      </c>
      <c r="H119" s="266">
        <f t="shared" si="22"/>
        <v>0</v>
      </c>
      <c r="I119" s="186"/>
      <c r="J119" s="290">
        <f t="shared" si="17"/>
        <v>1.2703368176538907</v>
      </c>
      <c r="K119" s="288"/>
      <c r="M119" s="16"/>
      <c r="N119" s="40"/>
      <c r="O119" s="40"/>
      <c r="P119" s="40"/>
      <c r="Q119" s="16"/>
      <c r="R119" s="18"/>
      <c r="S119" s="16"/>
      <c r="T119" s="16"/>
      <c r="U119" s="18"/>
      <c r="V119" s="18"/>
      <c r="X119" s="16"/>
      <c r="Z119" s="1221"/>
      <c r="AA119" s="16"/>
      <c r="AB119" s="18"/>
      <c r="AC119" s="18"/>
      <c r="AD119" s="18"/>
      <c r="AE119" s="200"/>
      <c r="AF119" s="18"/>
      <c r="AG119" s="16"/>
      <c r="AH119" s="18"/>
    </row>
    <row r="120" spans="1:34" x14ac:dyDescent="0.2">
      <c r="A120" s="257" t="s">
        <v>527</v>
      </c>
      <c r="B120" s="435">
        <f t="shared" si="18"/>
        <v>16.100000000000001</v>
      </c>
      <c r="C120" s="440">
        <f t="shared" si="19"/>
        <v>749222451.4559567</v>
      </c>
      <c r="D120" s="440">
        <f t="shared" si="20"/>
        <v>0</v>
      </c>
      <c r="E120" s="436">
        <f t="shared" si="21"/>
        <v>749222451.4559567</v>
      </c>
      <c r="G120" s="265">
        <f t="shared" si="16"/>
        <v>0</v>
      </c>
      <c r="H120" s="266">
        <f t="shared" si="22"/>
        <v>0</v>
      </c>
      <c r="I120" s="186"/>
      <c r="J120" s="290">
        <f t="shared" si="17"/>
        <v>1.2072869955156948</v>
      </c>
      <c r="K120" s="288"/>
      <c r="M120" s="16"/>
      <c r="N120" s="40"/>
      <c r="O120" s="40"/>
      <c r="P120" s="40"/>
      <c r="Q120" s="16"/>
      <c r="R120" s="18"/>
      <c r="S120" s="16"/>
      <c r="T120" s="16"/>
      <c r="U120" s="18"/>
      <c r="V120" s="18"/>
      <c r="X120" s="16"/>
      <c r="Z120" s="1221"/>
      <c r="AA120" s="16"/>
      <c r="AB120" s="18"/>
      <c r="AC120" s="18"/>
      <c r="AD120" s="18"/>
      <c r="AE120" s="200"/>
      <c r="AF120" s="18"/>
      <c r="AG120" s="16"/>
      <c r="AH120" s="18"/>
    </row>
    <row r="121" spans="1:34" x14ac:dyDescent="0.2">
      <c r="A121" s="257" t="s">
        <v>528</v>
      </c>
      <c r="B121" s="435">
        <f t="shared" si="18"/>
        <v>13.4</v>
      </c>
      <c r="C121" s="440">
        <f t="shared" si="19"/>
        <v>797828920.60545564</v>
      </c>
      <c r="D121" s="440">
        <f t="shared" si="20"/>
        <v>0</v>
      </c>
      <c r="E121" s="436">
        <f t="shared" si="21"/>
        <v>797828920.60545564</v>
      </c>
      <c r="G121" s="265">
        <f t="shared" si="16"/>
        <v>0</v>
      </c>
      <c r="H121" s="445">
        <f>B$7*G$4*B$8*B$9*P49</f>
        <v>0</v>
      </c>
      <c r="I121" s="186"/>
      <c r="J121" s="290">
        <f t="shared" si="17"/>
        <v>1.1226637554585153</v>
      </c>
      <c r="K121" s="288"/>
      <c r="M121" s="16"/>
      <c r="N121" s="40"/>
      <c r="O121" s="40"/>
      <c r="P121" s="40"/>
      <c r="Q121" s="16"/>
      <c r="R121" s="18"/>
      <c r="S121" s="16"/>
      <c r="T121" s="16"/>
      <c r="U121" s="18"/>
      <c r="V121" s="18"/>
      <c r="X121" s="16"/>
      <c r="Z121" s="1221"/>
      <c r="AA121" s="16"/>
      <c r="AB121" s="18"/>
      <c r="AC121" s="18"/>
      <c r="AD121" s="18"/>
      <c r="AE121" s="200"/>
      <c r="AF121" s="18"/>
      <c r="AG121" s="16"/>
      <c r="AH121" s="18"/>
    </row>
    <row r="122" spans="1:34" x14ac:dyDescent="0.2">
      <c r="A122" s="257" t="s">
        <v>529</v>
      </c>
      <c r="B122" s="435">
        <f t="shared" si="18"/>
        <v>11.6</v>
      </c>
      <c r="C122" s="440">
        <f t="shared" si="19"/>
        <v>874557062.29431367</v>
      </c>
      <c r="D122" s="440">
        <f t="shared" si="20"/>
        <v>0</v>
      </c>
      <c r="E122" s="436">
        <f t="shared" si="21"/>
        <v>874557062.29431367</v>
      </c>
      <c r="G122" s="265">
        <f t="shared" si="16"/>
        <v>0</v>
      </c>
      <c r="H122" s="266">
        <f t="shared" si="22"/>
        <v>0</v>
      </c>
      <c r="I122" s="186"/>
      <c r="J122" s="290">
        <f t="shared" si="17"/>
        <v>1.0509684439608269</v>
      </c>
      <c r="K122" s="288"/>
      <c r="M122" s="16"/>
      <c r="N122" s="40"/>
      <c r="O122" s="40"/>
      <c r="P122" s="40"/>
      <c r="Q122" s="16"/>
      <c r="R122" s="18"/>
      <c r="S122" s="16"/>
      <c r="T122" s="16"/>
      <c r="U122" s="18"/>
      <c r="V122" s="18"/>
      <c r="X122" s="16"/>
      <c r="Z122" s="1221"/>
      <c r="AA122" s="16"/>
      <c r="AB122" s="18"/>
      <c r="AC122" s="18"/>
      <c r="AD122" s="18"/>
      <c r="AE122" s="200"/>
      <c r="AF122" s="18"/>
      <c r="AG122" s="16"/>
      <c r="AH122" s="18"/>
    </row>
    <row r="123" spans="1:34" x14ac:dyDescent="0.2">
      <c r="A123" s="257" t="s">
        <v>530</v>
      </c>
      <c r="B123" s="435">
        <f t="shared" si="18"/>
        <v>10.8</v>
      </c>
      <c r="C123" s="440">
        <f t="shared" si="19"/>
        <v>896838770.8877995</v>
      </c>
      <c r="D123" s="440">
        <f t="shared" si="20"/>
        <v>0</v>
      </c>
      <c r="E123" s="436">
        <f t="shared" si="21"/>
        <v>896838770.8877995</v>
      </c>
      <c r="G123" s="265">
        <f t="shared" si="16"/>
        <v>0</v>
      </c>
      <c r="H123" s="266">
        <f t="shared" si="22"/>
        <v>0</v>
      </c>
      <c r="I123" s="186"/>
      <c r="J123" s="290">
        <f t="shared" si="17"/>
        <v>1.0001323042998895</v>
      </c>
      <c r="K123" s="288"/>
      <c r="M123" s="16"/>
      <c r="N123" s="40"/>
      <c r="O123" s="40"/>
      <c r="P123" s="40"/>
      <c r="Q123" s="16"/>
      <c r="R123" s="18"/>
      <c r="S123" s="16"/>
      <c r="T123" s="16"/>
      <c r="U123" s="18"/>
      <c r="V123" s="18"/>
      <c r="X123" s="16"/>
      <c r="Z123" s="1221"/>
      <c r="AA123" s="16"/>
      <c r="AB123" s="18"/>
      <c r="AC123" s="18"/>
      <c r="AD123" s="18"/>
      <c r="AE123" s="200"/>
      <c r="AF123" s="18"/>
      <c r="AG123" s="16"/>
      <c r="AH123" s="18"/>
    </row>
    <row r="124" spans="1:34" x14ac:dyDescent="0.2">
      <c r="A124" s="257" t="s">
        <v>531</v>
      </c>
      <c r="B124" s="435">
        <f t="shared" si="18"/>
        <v>11.5</v>
      </c>
      <c r="C124" s="440">
        <f t="shared" si="19"/>
        <v>849040912.13080585</v>
      </c>
      <c r="D124" s="440">
        <f t="shared" si="20"/>
        <v>0</v>
      </c>
      <c r="E124" s="436">
        <f t="shared" si="21"/>
        <v>849040912.13080585</v>
      </c>
      <c r="G124" s="265">
        <f t="shared" si="16"/>
        <v>0</v>
      </c>
      <c r="H124" s="266">
        <f t="shared" si="22"/>
        <v>0</v>
      </c>
      <c r="I124" s="186"/>
      <c r="J124" s="290">
        <f t="shared" si="17"/>
        <v>0.99934537246049671</v>
      </c>
      <c r="K124" s="288"/>
      <c r="M124" s="16"/>
      <c r="N124" s="40"/>
      <c r="O124" s="40"/>
      <c r="P124" s="40"/>
      <c r="Q124" s="16"/>
      <c r="R124" s="18"/>
      <c r="S124" s="16"/>
      <c r="T124" s="16"/>
      <c r="U124" s="18"/>
      <c r="V124" s="18"/>
      <c r="X124" s="16"/>
      <c r="Z124" s="1221"/>
      <c r="AA124" s="16"/>
      <c r="AB124" s="18"/>
      <c r="AC124" s="18"/>
      <c r="AD124" s="18"/>
      <c r="AE124" s="200"/>
      <c r="AF124" s="18"/>
      <c r="AG124" s="16"/>
      <c r="AH124" s="18"/>
    </row>
    <row r="125" spans="1:34" x14ac:dyDescent="0.2">
      <c r="A125" s="257" t="s">
        <v>532</v>
      </c>
      <c r="B125" s="435">
        <f t="shared" si="18"/>
        <v>13.6</v>
      </c>
      <c r="C125" s="440">
        <f t="shared" si="19"/>
        <v>818852790.81059945</v>
      </c>
      <c r="D125" s="440">
        <f t="shared" si="20"/>
        <v>0</v>
      </c>
      <c r="E125" s="436">
        <f t="shared" si="21"/>
        <v>818852790.81059945</v>
      </c>
      <c r="G125" s="265">
        <f t="shared" si="16"/>
        <v>0</v>
      </c>
      <c r="H125" s="266">
        <f t="shared" si="22"/>
        <v>0</v>
      </c>
      <c r="I125" s="186"/>
      <c r="J125" s="290">
        <f t="shared" si="17"/>
        <v>1.0580764774044034</v>
      </c>
      <c r="K125" s="288"/>
      <c r="M125" s="16"/>
      <c r="N125" s="40"/>
      <c r="O125" s="40"/>
      <c r="P125" s="40"/>
      <c r="Q125" s="16"/>
      <c r="R125" s="18"/>
      <c r="S125" s="16"/>
      <c r="T125" s="16"/>
      <c r="U125" s="18"/>
      <c r="V125" s="18"/>
      <c r="X125" s="16"/>
      <c r="Z125" s="1221"/>
      <c r="AA125" s="16"/>
      <c r="AB125" s="18"/>
      <c r="AC125" s="18"/>
      <c r="AD125" s="18"/>
      <c r="AE125" s="200"/>
      <c r="AF125" s="18"/>
      <c r="AG125" s="16"/>
      <c r="AH125" s="18"/>
    </row>
    <row r="126" spans="1:34" x14ac:dyDescent="0.2">
      <c r="A126" s="257" t="s">
        <v>533</v>
      </c>
      <c r="B126" s="435">
        <f t="shared" si="18"/>
        <v>17</v>
      </c>
      <c r="C126" s="440">
        <f t="shared" si="19"/>
        <v>700795673.50479209</v>
      </c>
      <c r="D126" s="440">
        <f t="shared" si="20"/>
        <v>0</v>
      </c>
      <c r="E126" s="436">
        <f t="shared" si="21"/>
        <v>700795673.50479209</v>
      </c>
      <c r="G126" s="265">
        <f t="shared" si="16"/>
        <v>0</v>
      </c>
      <c r="H126" s="266">
        <f t="shared" si="22"/>
        <v>0</v>
      </c>
      <c r="I126" s="186"/>
      <c r="J126" s="290">
        <f t="shared" si="17"/>
        <v>1.1743062200956937</v>
      </c>
      <c r="K126" s="288"/>
      <c r="M126" s="16"/>
      <c r="N126" s="40"/>
      <c r="O126" s="40"/>
      <c r="P126" s="40"/>
      <c r="Q126" s="16"/>
      <c r="R126" s="18"/>
      <c r="S126" s="16"/>
      <c r="T126" s="16"/>
      <c r="U126" s="18"/>
      <c r="V126" s="18"/>
      <c r="X126" s="16"/>
      <c r="Z126" s="1221"/>
      <c r="AA126" s="16"/>
      <c r="AB126" s="18"/>
      <c r="AC126" s="18"/>
      <c r="AD126" s="18"/>
      <c r="AE126" s="200"/>
      <c r="AF126" s="18"/>
      <c r="AG126" s="16"/>
      <c r="AH126" s="18"/>
    </row>
    <row r="127" spans="1:34" ht="13.5" thickBot="1" x14ac:dyDescent="0.25">
      <c r="A127" s="258" t="s">
        <v>534</v>
      </c>
      <c r="B127" s="437">
        <f t="shared" si="18"/>
        <v>19.3</v>
      </c>
      <c r="C127" s="444">
        <f t="shared" si="19"/>
        <v>660095617.08201385</v>
      </c>
      <c r="D127" s="444">
        <f t="shared" si="20"/>
        <v>0</v>
      </c>
      <c r="E127" s="439">
        <f t="shared" si="21"/>
        <v>660095617.08201385</v>
      </c>
      <c r="G127" s="267">
        <f t="shared" si="16"/>
        <v>0</v>
      </c>
      <c r="H127" s="268">
        <f t="shared" si="22"/>
        <v>0</v>
      </c>
      <c r="I127" s="186"/>
      <c r="J127" s="291">
        <f t="shared" si="17"/>
        <v>1.2497783251231529</v>
      </c>
      <c r="K127" s="288"/>
      <c r="M127" s="16"/>
      <c r="N127" s="40"/>
      <c r="O127" s="40"/>
      <c r="P127" s="40"/>
      <c r="Q127" s="16"/>
      <c r="R127" s="18"/>
      <c r="S127" s="16"/>
      <c r="T127" s="16"/>
      <c r="U127" s="18"/>
      <c r="V127" s="18"/>
      <c r="X127" s="16"/>
      <c r="Z127" s="1221"/>
      <c r="AA127" s="16"/>
      <c r="AB127" s="18"/>
      <c r="AC127" s="18"/>
      <c r="AD127" s="18"/>
      <c r="AE127" s="200"/>
      <c r="AF127" s="18"/>
      <c r="AG127" s="16"/>
      <c r="AH127" s="18"/>
    </row>
    <row r="128" spans="1:34" x14ac:dyDescent="0.2">
      <c r="C128" s="253">
        <f>SUM(C116:C127)</f>
        <v>8843053098.0396366</v>
      </c>
      <c r="D128" s="253">
        <f>SUM(D116:D127)</f>
        <v>0</v>
      </c>
      <c r="E128" s="253">
        <f>SUM(E116:E127)</f>
        <v>8843053098.0396366</v>
      </c>
      <c r="G128" s="253">
        <f>SUM(G116:G127)</f>
        <v>0</v>
      </c>
      <c r="H128" s="253">
        <f>SUM(H116:H127)</f>
        <v>0</v>
      </c>
      <c r="N128"/>
      <c r="O128"/>
      <c r="P128"/>
      <c r="Q128"/>
      <c r="S128" s="151"/>
      <c r="T128" s="151"/>
      <c r="U128" s="151"/>
      <c r="V128" s="18"/>
      <c r="X128" s="1221"/>
      <c r="AA128" s="1221"/>
      <c r="AB128" s="16"/>
    </row>
    <row r="129" spans="1:22" x14ac:dyDescent="0.2">
      <c r="C129" s="186">
        <f>100*C128/E128</f>
        <v>100</v>
      </c>
      <c r="D129" s="186">
        <f>100*D128/E128</f>
        <v>0</v>
      </c>
      <c r="N129"/>
      <c r="O129" s="1221"/>
      <c r="P129" s="1221"/>
      <c r="Q129"/>
      <c r="R129" s="44"/>
      <c r="S129" s="44"/>
      <c r="T129" s="44"/>
      <c r="U129" s="44"/>
      <c r="V129" s="151"/>
    </row>
    <row r="130" spans="1:22" x14ac:dyDescent="0.2">
      <c r="C130" s="151">
        <f>C128/(3600*1000)</f>
        <v>2456.4036383443436</v>
      </c>
      <c r="D130" s="151">
        <f>D128/(3600*1000)</f>
        <v>0</v>
      </c>
      <c r="K130"/>
      <c r="R130" s="44"/>
      <c r="S130" s="44"/>
      <c r="T130" s="151"/>
    </row>
    <row r="131" spans="1:22" s="232" customFormat="1" x14ac:dyDescent="0.2">
      <c r="O131" s="233"/>
      <c r="P131" s="233"/>
      <c r="Q131" s="233"/>
      <c r="R131" s="234"/>
    </row>
    <row r="132" spans="1:22" ht="13.5" thickBot="1" x14ac:dyDescent="0.25">
      <c r="A132" t="s">
        <v>312</v>
      </c>
      <c r="G132" t="s">
        <v>680</v>
      </c>
      <c r="J132" t="s">
        <v>680</v>
      </c>
    </row>
    <row r="133" spans="1:22" s="280" customFormat="1" ht="26.25" thickBot="1" x14ac:dyDescent="0.25">
      <c r="B133" s="294" t="s">
        <v>564</v>
      </c>
      <c r="C133" s="295" t="s">
        <v>565</v>
      </c>
      <c r="D133" s="283" t="s">
        <v>679</v>
      </c>
      <c r="E133" s="280" t="s">
        <v>807</v>
      </c>
      <c r="F133" s="284" t="s">
        <v>678</v>
      </c>
      <c r="G133" s="284" t="s">
        <v>681</v>
      </c>
      <c r="H133" s="284" t="s">
        <v>687</v>
      </c>
      <c r="I133" s="284" t="s">
        <v>591</v>
      </c>
      <c r="J133" s="284" t="s">
        <v>595</v>
      </c>
      <c r="K133" s="283"/>
      <c r="L133" s="283"/>
      <c r="R133" s="283"/>
    </row>
    <row r="134" spans="1:22" x14ac:dyDescent="0.2">
      <c r="A134" s="256" t="s">
        <v>523</v>
      </c>
      <c r="B134" s="298">
        <f>G116*J116/C116</f>
        <v>0</v>
      </c>
      <c r="C134" s="293">
        <f>H116/C116</f>
        <v>0</v>
      </c>
      <c r="D134" s="152">
        <f>1.029*C134-0.065*B134-0.245*C134^2+0.0018*B134^2+0.0215*C134^3</f>
        <v>0</v>
      </c>
      <c r="E134" s="187">
        <f>IF(D134&lt;0,0,D134)</f>
        <v>0</v>
      </c>
      <c r="F134" s="40">
        <f>IF(E134&gt;0.9,0.9,E134)</f>
        <v>0</v>
      </c>
      <c r="G134" s="254">
        <f t="shared" ref="G134:G145" si="23">C116*F134</f>
        <v>0</v>
      </c>
      <c r="H134" s="187">
        <f t="shared" ref="H134:H145" si="24">G134/C116</f>
        <v>0</v>
      </c>
      <c r="I134" s="187">
        <f t="shared" ref="I134:I145" si="25">IF(H134&gt;0.9,0.9,H134)</f>
        <v>0</v>
      </c>
      <c r="J134" s="254">
        <f>C116*I134</f>
        <v>0</v>
      </c>
    </row>
    <row r="135" spans="1:22" x14ac:dyDescent="0.2">
      <c r="A135" s="257" t="s">
        <v>524</v>
      </c>
      <c r="B135" s="296">
        <f t="shared" ref="B135:B145" si="26">G117*J117/C117</f>
        <v>0</v>
      </c>
      <c r="C135" s="286">
        <f t="shared" ref="C135:C145" si="27">H117/C117</f>
        <v>0</v>
      </c>
      <c r="D135" s="152">
        <f t="shared" ref="D135:D145" si="28">1.029*C135-0.065*B135-0.245*C135^2+0.0018*B135^2+0.0215*C135^3</f>
        <v>0</v>
      </c>
      <c r="E135" s="187">
        <f t="shared" ref="E135:E145" si="29">IF(D135&lt;0,0,D135)</f>
        <v>0</v>
      </c>
      <c r="F135" s="40">
        <f t="shared" ref="F135:F145" si="30">IF(E135&gt;0.9,0.9,E135)</f>
        <v>0</v>
      </c>
      <c r="G135" s="254">
        <f t="shared" si="23"/>
        <v>0</v>
      </c>
      <c r="H135" s="187">
        <f t="shared" si="24"/>
        <v>0</v>
      </c>
      <c r="I135" s="187">
        <f t="shared" si="25"/>
        <v>0</v>
      </c>
      <c r="J135" s="254">
        <f t="shared" ref="J135:J145" si="31">C117*I135</f>
        <v>0</v>
      </c>
      <c r="K135" s="253"/>
      <c r="L135" s="40"/>
      <c r="M135" s="16"/>
      <c r="N135" s="254"/>
    </row>
    <row r="136" spans="1:22" x14ac:dyDescent="0.2">
      <c r="A136" s="257" t="s">
        <v>525</v>
      </c>
      <c r="B136" s="296">
        <f t="shared" si="26"/>
        <v>0</v>
      </c>
      <c r="C136" s="286">
        <f t="shared" si="27"/>
        <v>0</v>
      </c>
      <c r="D136" s="152">
        <f t="shared" si="28"/>
        <v>0</v>
      </c>
      <c r="E136" s="187">
        <f t="shared" si="29"/>
        <v>0</v>
      </c>
      <c r="F136" s="40">
        <f t="shared" si="30"/>
        <v>0</v>
      </c>
      <c r="G136" s="254">
        <f t="shared" si="23"/>
        <v>0</v>
      </c>
      <c r="H136" s="187">
        <f t="shared" si="24"/>
        <v>0</v>
      </c>
      <c r="I136" s="187">
        <f t="shared" si="25"/>
        <v>0</v>
      </c>
      <c r="J136" s="254">
        <f t="shared" si="31"/>
        <v>0</v>
      </c>
      <c r="K136" s="253"/>
      <c r="L136" s="40"/>
      <c r="M136" s="16"/>
      <c r="N136" s="254"/>
    </row>
    <row r="137" spans="1:22" x14ac:dyDescent="0.2">
      <c r="A137" s="257" t="s">
        <v>526</v>
      </c>
      <c r="B137" s="296">
        <f t="shared" si="26"/>
        <v>0</v>
      </c>
      <c r="C137" s="286">
        <f t="shared" si="27"/>
        <v>0</v>
      </c>
      <c r="D137" s="152">
        <f t="shared" si="28"/>
        <v>0</v>
      </c>
      <c r="E137" s="187">
        <f t="shared" si="29"/>
        <v>0</v>
      </c>
      <c r="F137" s="40">
        <f t="shared" si="30"/>
        <v>0</v>
      </c>
      <c r="G137" s="254">
        <f t="shared" si="23"/>
        <v>0</v>
      </c>
      <c r="H137" s="187">
        <f t="shared" si="24"/>
        <v>0</v>
      </c>
      <c r="I137" s="187">
        <f t="shared" si="25"/>
        <v>0</v>
      </c>
      <c r="J137" s="254">
        <f t="shared" si="31"/>
        <v>0</v>
      </c>
      <c r="K137" s="253"/>
      <c r="L137" s="40"/>
      <c r="M137" s="16"/>
      <c r="N137" s="254"/>
    </row>
    <row r="138" spans="1:22" x14ac:dyDescent="0.2">
      <c r="A138" s="257" t="s">
        <v>527</v>
      </c>
      <c r="B138" s="296">
        <f t="shared" si="26"/>
        <v>0</v>
      </c>
      <c r="C138" s="286">
        <f t="shared" si="27"/>
        <v>0</v>
      </c>
      <c r="D138" s="152">
        <f t="shared" si="28"/>
        <v>0</v>
      </c>
      <c r="E138" s="187">
        <f t="shared" si="29"/>
        <v>0</v>
      </c>
      <c r="F138" s="40">
        <f t="shared" si="30"/>
        <v>0</v>
      </c>
      <c r="G138" s="254">
        <f t="shared" si="23"/>
        <v>0</v>
      </c>
      <c r="H138" s="187">
        <f t="shared" si="24"/>
        <v>0</v>
      </c>
      <c r="I138" s="187">
        <f t="shared" si="25"/>
        <v>0</v>
      </c>
      <c r="J138" s="254">
        <f t="shared" si="31"/>
        <v>0</v>
      </c>
      <c r="K138" s="253"/>
      <c r="L138" s="40"/>
      <c r="M138" s="16"/>
      <c r="N138" s="254"/>
    </row>
    <row r="139" spans="1:22" x14ac:dyDescent="0.2">
      <c r="A139" s="257" t="s">
        <v>528</v>
      </c>
      <c r="B139" s="296">
        <f t="shared" si="26"/>
        <v>0</v>
      </c>
      <c r="C139" s="286">
        <f t="shared" si="27"/>
        <v>0</v>
      </c>
      <c r="D139" s="152">
        <f t="shared" si="28"/>
        <v>0</v>
      </c>
      <c r="E139" s="187">
        <f t="shared" si="29"/>
        <v>0</v>
      </c>
      <c r="F139" s="40">
        <f t="shared" si="30"/>
        <v>0</v>
      </c>
      <c r="G139" s="254">
        <f t="shared" si="23"/>
        <v>0</v>
      </c>
      <c r="H139" s="187">
        <f t="shared" si="24"/>
        <v>0</v>
      </c>
      <c r="I139" s="187">
        <f t="shared" si="25"/>
        <v>0</v>
      </c>
      <c r="J139" s="254">
        <f t="shared" si="31"/>
        <v>0</v>
      </c>
      <c r="K139" s="253"/>
      <c r="L139" s="40"/>
      <c r="M139" s="16"/>
      <c r="N139" s="254"/>
    </row>
    <row r="140" spans="1:22" x14ac:dyDescent="0.2">
      <c r="A140" s="257" t="s">
        <v>529</v>
      </c>
      <c r="B140" s="296">
        <f t="shared" si="26"/>
        <v>0</v>
      </c>
      <c r="C140" s="286">
        <f t="shared" si="27"/>
        <v>0</v>
      </c>
      <c r="D140" s="152">
        <f t="shared" si="28"/>
        <v>0</v>
      </c>
      <c r="E140" s="187">
        <f t="shared" si="29"/>
        <v>0</v>
      </c>
      <c r="F140" s="40">
        <f t="shared" si="30"/>
        <v>0</v>
      </c>
      <c r="G140" s="254">
        <f t="shared" si="23"/>
        <v>0</v>
      </c>
      <c r="H140" s="187">
        <f t="shared" si="24"/>
        <v>0</v>
      </c>
      <c r="I140" s="187">
        <f t="shared" si="25"/>
        <v>0</v>
      </c>
      <c r="J140" s="254">
        <f t="shared" si="31"/>
        <v>0</v>
      </c>
      <c r="K140" s="253"/>
      <c r="L140" s="40"/>
      <c r="M140" s="16"/>
      <c r="N140" s="254"/>
    </row>
    <row r="141" spans="1:22" x14ac:dyDescent="0.2">
      <c r="A141" s="257" t="s">
        <v>530</v>
      </c>
      <c r="B141" s="296">
        <f t="shared" si="26"/>
        <v>0</v>
      </c>
      <c r="C141" s="286">
        <f t="shared" si="27"/>
        <v>0</v>
      </c>
      <c r="D141" s="152">
        <f t="shared" si="28"/>
        <v>0</v>
      </c>
      <c r="E141" s="187">
        <f t="shared" si="29"/>
        <v>0</v>
      </c>
      <c r="F141" s="40">
        <f t="shared" si="30"/>
        <v>0</v>
      </c>
      <c r="G141" s="254">
        <f t="shared" si="23"/>
        <v>0</v>
      </c>
      <c r="H141" s="187">
        <f t="shared" si="24"/>
        <v>0</v>
      </c>
      <c r="I141" s="187">
        <f t="shared" si="25"/>
        <v>0</v>
      </c>
      <c r="J141" s="254">
        <f t="shared" si="31"/>
        <v>0</v>
      </c>
      <c r="K141" s="253"/>
      <c r="L141" s="40"/>
      <c r="M141" s="16"/>
      <c r="N141" s="254"/>
    </row>
    <row r="142" spans="1:22" x14ac:dyDescent="0.2">
      <c r="A142" s="257" t="s">
        <v>531</v>
      </c>
      <c r="B142" s="296">
        <f t="shared" si="26"/>
        <v>0</v>
      </c>
      <c r="C142" s="286">
        <f t="shared" si="27"/>
        <v>0</v>
      </c>
      <c r="D142" s="152">
        <f t="shared" si="28"/>
        <v>0</v>
      </c>
      <c r="E142" s="187">
        <f t="shared" si="29"/>
        <v>0</v>
      </c>
      <c r="F142" s="40">
        <f t="shared" si="30"/>
        <v>0</v>
      </c>
      <c r="G142" s="254">
        <f t="shared" si="23"/>
        <v>0</v>
      </c>
      <c r="H142" s="187">
        <f t="shared" si="24"/>
        <v>0</v>
      </c>
      <c r="I142" s="187">
        <f t="shared" si="25"/>
        <v>0</v>
      </c>
      <c r="J142" s="254">
        <f t="shared" si="31"/>
        <v>0</v>
      </c>
      <c r="K142" s="253"/>
      <c r="L142" s="40"/>
      <c r="M142" s="16"/>
      <c r="N142" s="254"/>
    </row>
    <row r="143" spans="1:22" x14ac:dyDescent="0.2">
      <c r="A143" s="257" t="s">
        <v>532</v>
      </c>
      <c r="B143" s="296">
        <f t="shared" si="26"/>
        <v>0</v>
      </c>
      <c r="C143" s="286">
        <f t="shared" si="27"/>
        <v>0</v>
      </c>
      <c r="D143" s="152">
        <f t="shared" si="28"/>
        <v>0</v>
      </c>
      <c r="E143" s="187">
        <f t="shared" si="29"/>
        <v>0</v>
      </c>
      <c r="F143" s="40">
        <f t="shared" si="30"/>
        <v>0</v>
      </c>
      <c r="G143" s="254">
        <f t="shared" si="23"/>
        <v>0</v>
      </c>
      <c r="H143" s="187">
        <f t="shared" si="24"/>
        <v>0</v>
      </c>
      <c r="I143" s="187">
        <f t="shared" si="25"/>
        <v>0</v>
      </c>
      <c r="J143" s="254">
        <f t="shared" si="31"/>
        <v>0</v>
      </c>
      <c r="K143" s="253"/>
      <c r="L143" s="40"/>
      <c r="M143" s="16"/>
      <c r="N143" s="254"/>
    </row>
    <row r="144" spans="1:22" x14ac:dyDescent="0.2">
      <c r="A144" s="257" t="s">
        <v>533</v>
      </c>
      <c r="B144" s="296">
        <f t="shared" si="26"/>
        <v>0</v>
      </c>
      <c r="C144" s="286">
        <f t="shared" si="27"/>
        <v>0</v>
      </c>
      <c r="D144" s="152">
        <f t="shared" si="28"/>
        <v>0</v>
      </c>
      <c r="E144" s="187">
        <f t="shared" si="29"/>
        <v>0</v>
      </c>
      <c r="F144" s="40">
        <f t="shared" si="30"/>
        <v>0</v>
      </c>
      <c r="G144" s="254">
        <f t="shared" si="23"/>
        <v>0</v>
      </c>
      <c r="H144" s="187">
        <f t="shared" si="24"/>
        <v>0</v>
      </c>
      <c r="I144" s="187">
        <f t="shared" si="25"/>
        <v>0</v>
      </c>
      <c r="J144" s="254">
        <f t="shared" si="31"/>
        <v>0</v>
      </c>
      <c r="K144" s="253"/>
      <c r="L144" s="40"/>
      <c r="M144" s="16"/>
      <c r="N144" s="254"/>
    </row>
    <row r="145" spans="1:18" ht="13.5" thickBot="1" x14ac:dyDescent="0.25">
      <c r="A145" s="258" t="s">
        <v>534</v>
      </c>
      <c r="B145" s="297">
        <f t="shared" si="26"/>
        <v>0</v>
      </c>
      <c r="C145" s="287">
        <f t="shared" si="27"/>
        <v>0</v>
      </c>
      <c r="D145" s="152">
        <f t="shared" si="28"/>
        <v>0</v>
      </c>
      <c r="E145" s="187">
        <f t="shared" si="29"/>
        <v>0</v>
      </c>
      <c r="F145" s="40">
        <f t="shared" si="30"/>
        <v>0</v>
      </c>
      <c r="G145" s="254">
        <f t="shared" si="23"/>
        <v>0</v>
      </c>
      <c r="H145" s="187">
        <f t="shared" si="24"/>
        <v>0</v>
      </c>
      <c r="I145" s="187">
        <f t="shared" si="25"/>
        <v>0</v>
      </c>
      <c r="J145" s="254">
        <f t="shared" si="31"/>
        <v>0</v>
      </c>
      <c r="K145" s="253"/>
      <c r="L145" s="40"/>
      <c r="M145" s="16"/>
      <c r="N145" s="254"/>
    </row>
    <row r="146" spans="1:18" x14ac:dyDescent="0.2">
      <c r="J146" s="254">
        <f>SUM(J134:J145)</f>
        <v>0</v>
      </c>
      <c r="N146" s="254"/>
    </row>
    <row r="147" spans="1:18" x14ac:dyDescent="0.2">
      <c r="I147" s="254"/>
      <c r="N147" s="254"/>
    </row>
    <row r="148" spans="1:18" ht="13.5" thickBot="1" x14ac:dyDescent="0.25">
      <c r="A148" s="194" t="s">
        <v>688</v>
      </c>
      <c r="G148" t="s">
        <v>680</v>
      </c>
      <c r="K148" t="s">
        <v>680</v>
      </c>
      <c r="L148"/>
      <c r="M148" s="1221"/>
      <c r="N148" s="1221"/>
      <c r="O148"/>
    </row>
    <row r="149" spans="1:18" s="232" customFormat="1" ht="39" thickBot="1" x14ac:dyDescent="0.25">
      <c r="A149" s="280"/>
      <c r="B149" s="281" t="s">
        <v>564</v>
      </c>
      <c r="C149" s="282" t="s">
        <v>565</v>
      </c>
      <c r="D149" s="283" t="s">
        <v>679</v>
      </c>
      <c r="E149" s="284" t="s">
        <v>678</v>
      </c>
      <c r="F149" s="232" t="s">
        <v>808</v>
      </c>
      <c r="G149" s="284" t="s">
        <v>689</v>
      </c>
      <c r="H149" s="284" t="s">
        <v>682</v>
      </c>
      <c r="I149" s="232" t="s">
        <v>809</v>
      </c>
      <c r="J149" s="283" t="s">
        <v>685</v>
      </c>
      <c r="K149" s="280" t="s">
        <v>684</v>
      </c>
      <c r="L149" s="280" t="s">
        <v>686</v>
      </c>
      <c r="M149" s="1223"/>
      <c r="N149" s="1223" t="s">
        <v>690</v>
      </c>
      <c r="O149" s="1223" t="s">
        <v>691</v>
      </c>
      <c r="P149" s="233"/>
      <c r="Q149" s="233"/>
      <c r="R149" s="234"/>
    </row>
    <row r="150" spans="1:18" x14ac:dyDescent="0.2">
      <c r="A150" s="256" t="s">
        <v>523</v>
      </c>
      <c r="B150" s="293">
        <f>G116*J116/E116</f>
        <v>0</v>
      </c>
      <c r="C150" s="292">
        <f>H116/E116</f>
        <v>0</v>
      </c>
      <c r="D150" s="152">
        <f>1.029*C150-0.065*B150-0.245*C150^2+0.0018*B150^2+0.0215*C150^3</f>
        <v>0</v>
      </c>
      <c r="E150" s="152">
        <f>IF(D150&gt;0.9,0.9,D150)</f>
        <v>0</v>
      </c>
      <c r="F150" s="187">
        <f>IF(E150&lt;0,0,E150)</f>
        <v>0</v>
      </c>
      <c r="G150" s="254">
        <f>E116*F150</f>
        <v>0</v>
      </c>
      <c r="H150" s="254">
        <f t="shared" ref="H150:H161" si="32">G150-J134</f>
        <v>0</v>
      </c>
      <c r="I150">
        <f>IF(H150&lt;0,0,H150)</f>
        <v>0</v>
      </c>
      <c r="J150" s="152">
        <f>I150/(D116+0.0001)</f>
        <v>0</v>
      </c>
      <c r="K150" s="16">
        <f>IF(J150&gt;0.9,0.9,J150)</f>
        <v>0</v>
      </c>
      <c r="L150" s="254">
        <f t="shared" ref="L150:L161" si="33">D116*K150</f>
        <v>0</v>
      </c>
      <c r="M150" s="1221"/>
      <c r="N150" s="253">
        <f t="shared" ref="N150:N161" si="34">L150+J134</f>
        <v>0</v>
      </c>
      <c r="O150" s="187" t="e">
        <f t="shared" ref="O150:O161" si="35">100*N150/(P44*B$7)</f>
        <v>#DIV/0!</v>
      </c>
    </row>
    <row r="151" spans="1:18" x14ac:dyDescent="0.2">
      <c r="A151" s="257" t="s">
        <v>524</v>
      </c>
      <c r="B151" s="274">
        <f t="shared" ref="B151:B161" si="36">G117*J117/E117</f>
        <v>0</v>
      </c>
      <c r="C151" s="272">
        <f t="shared" ref="C151:C161" si="37">H117/E117</f>
        <v>0</v>
      </c>
      <c r="D151" s="152">
        <f t="shared" ref="D151:D161" si="38">1.029*C151-0.065*B151-0.245*C151^2+0.0018*B151^2+0.0215*C151^3</f>
        <v>0</v>
      </c>
      <c r="E151" s="152">
        <f t="shared" ref="E151:E161" si="39">IF(D151&gt;0.9,0.9,D151)</f>
        <v>0</v>
      </c>
      <c r="F151" s="187">
        <f t="shared" ref="F151:F161" si="40">IF(E151&lt;0,0,E151)</f>
        <v>0</v>
      </c>
      <c r="G151" s="254">
        <f t="shared" ref="G151:G161" si="41">E117*F151</f>
        <v>0</v>
      </c>
      <c r="H151" s="254">
        <f t="shared" si="32"/>
        <v>0</v>
      </c>
      <c r="I151">
        <f t="shared" ref="I151:I161" si="42">IF(H151&lt;0,0,H151)</f>
        <v>0</v>
      </c>
      <c r="J151" s="152">
        <f t="shared" ref="J151:J161" si="43">I151/(D117+0.0001)</f>
        <v>0</v>
      </c>
      <c r="K151" s="16">
        <f t="shared" ref="K151:K161" si="44">IF(J151&gt;0.9,0.9,J151)</f>
        <v>0</v>
      </c>
      <c r="L151" s="254">
        <f t="shared" si="33"/>
        <v>0</v>
      </c>
      <c r="M151" s="1221"/>
      <c r="N151" s="253">
        <f t="shared" si="34"/>
        <v>0</v>
      </c>
      <c r="O151" s="187" t="e">
        <f t="shared" si="35"/>
        <v>#DIV/0!</v>
      </c>
    </row>
    <row r="152" spans="1:18" x14ac:dyDescent="0.2">
      <c r="A152" s="257" t="s">
        <v>525</v>
      </c>
      <c r="B152" s="274">
        <f t="shared" si="36"/>
        <v>0</v>
      </c>
      <c r="C152" s="272">
        <f t="shared" si="37"/>
        <v>0</v>
      </c>
      <c r="D152" s="152">
        <f t="shared" si="38"/>
        <v>0</v>
      </c>
      <c r="E152" s="152">
        <f t="shared" si="39"/>
        <v>0</v>
      </c>
      <c r="F152" s="187">
        <f t="shared" si="40"/>
        <v>0</v>
      </c>
      <c r="G152" s="254">
        <f t="shared" si="41"/>
        <v>0</v>
      </c>
      <c r="H152" s="254">
        <f t="shared" si="32"/>
        <v>0</v>
      </c>
      <c r="I152">
        <f t="shared" si="42"/>
        <v>0</v>
      </c>
      <c r="J152" s="152">
        <f t="shared" si="43"/>
        <v>0</v>
      </c>
      <c r="K152" s="16">
        <f t="shared" si="44"/>
        <v>0</v>
      </c>
      <c r="L152" s="254">
        <f t="shared" si="33"/>
        <v>0</v>
      </c>
      <c r="M152" s="1221"/>
      <c r="N152" s="253">
        <f t="shared" si="34"/>
        <v>0</v>
      </c>
      <c r="O152" s="187" t="e">
        <f t="shared" si="35"/>
        <v>#DIV/0!</v>
      </c>
    </row>
    <row r="153" spans="1:18" x14ac:dyDescent="0.2">
      <c r="A153" s="257" t="s">
        <v>526</v>
      </c>
      <c r="B153" s="274">
        <f t="shared" si="36"/>
        <v>0</v>
      </c>
      <c r="C153" s="272">
        <f t="shared" si="37"/>
        <v>0</v>
      </c>
      <c r="D153" s="152">
        <f t="shared" si="38"/>
        <v>0</v>
      </c>
      <c r="E153" s="152">
        <f t="shared" si="39"/>
        <v>0</v>
      </c>
      <c r="F153" s="187">
        <f t="shared" si="40"/>
        <v>0</v>
      </c>
      <c r="G153" s="254">
        <f t="shared" si="41"/>
        <v>0</v>
      </c>
      <c r="H153" s="254">
        <f t="shared" si="32"/>
        <v>0</v>
      </c>
      <c r="I153">
        <f t="shared" si="42"/>
        <v>0</v>
      </c>
      <c r="J153" s="152">
        <f t="shared" si="43"/>
        <v>0</v>
      </c>
      <c r="K153" s="16">
        <f t="shared" si="44"/>
        <v>0</v>
      </c>
      <c r="L153" s="254">
        <f t="shared" si="33"/>
        <v>0</v>
      </c>
      <c r="M153" s="1221"/>
      <c r="N153" s="253">
        <f t="shared" si="34"/>
        <v>0</v>
      </c>
      <c r="O153" s="187" t="e">
        <f t="shared" si="35"/>
        <v>#DIV/0!</v>
      </c>
    </row>
    <row r="154" spans="1:18" x14ac:dyDescent="0.2">
      <c r="A154" s="257" t="s">
        <v>527</v>
      </c>
      <c r="B154" s="274">
        <f t="shared" si="36"/>
        <v>0</v>
      </c>
      <c r="C154" s="272">
        <f t="shared" si="37"/>
        <v>0</v>
      </c>
      <c r="D154" s="152">
        <f t="shared" si="38"/>
        <v>0</v>
      </c>
      <c r="E154" s="152">
        <f t="shared" si="39"/>
        <v>0</v>
      </c>
      <c r="F154" s="187">
        <f t="shared" si="40"/>
        <v>0</v>
      </c>
      <c r="G154" s="254">
        <f t="shared" si="41"/>
        <v>0</v>
      </c>
      <c r="H154" s="254">
        <f t="shared" si="32"/>
        <v>0</v>
      </c>
      <c r="I154">
        <f t="shared" si="42"/>
        <v>0</v>
      </c>
      <c r="J154" s="152">
        <f t="shared" si="43"/>
        <v>0</v>
      </c>
      <c r="K154" s="16">
        <f t="shared" si="44"/>
        <v>0</v>
      </c>
      <c r="L154" s="254">
        <f t="shared" si="33"/>
        <v>0</v>
      </c>
      <c r="M154" s="1221"/>
      <c r="N154" s="253">
        <f t="shared" si="34"/>
        <v>0</v>
      </c>
      <c r="O154" s="187" t="e">
        <f t="shared" si="35"/>
        <v>#DIV/0!</v>
      </c>
    </row>
    <row r="155" spans="1:18" x14ac:dyDescent="0.2">
      <c r="A155" s="257" t="s">
        <v>528</v>
      </c>
      <c r="B155" s="274">
        <f t="shared" si="36"/>
        <v>0</v>
      </c>
      <c r="C155" s="272">
        <f t="shared" si="37"/>
        <v>0</v>
      </c>
      <c r="D155" s="152">
        <f t="shared" si="38"/>
        <v>0</v>
      </c>
      <c r="E155" s="152">
        <f t="shared" si="39"/>
        <v>0</v>
      </c>
      <c r="F155" s="187">
        <f t="shared" si="40"/>
        <v>0</v>
      </c>
      <c r="G155" s="254">
        <f t="shared" si="41"/>
        <v>0</v>
      </c>
      <c r="H155" s="254">
        <f t="shared" si="32"/>
        <v>0</v>
      </c>
      <c r="I155">
        <f t="shared" si="42"/>
        <v>0</v>
      </c>
      <c r="J155" s="152">
        <f t="shared" si="43"/>
        <v>0</v>
      </c>
      <c r="K155" s="16">
        <f t="shared" si="44"/>
        <v>0</v>
      </c>
      <c r="L155" s="254">
        <f t="shared" si="33"/>
        <v>0</v>
      </c>
      <c r="M155" s="1221"/>
      <c r="N155" s="253">
        <f t="shared" si="34"/>
        <v>0</v>
      </c>
      <c r="O155" s="187" t="e">
        <f t="shared" si="35"/>
        <v>#DIV/0!</v>
      </c>
    </row>
    <row r="156" spans="1:18" x14ac:dyDescent="0.2">
      <c r="A156" s="257" t="s">
        <v>529</v>
      </c>
      <c r="B156" s="274">
        <f t="shared" si="36"/>
        <v>0</v>
      </c>
      <c r="C156" s="272">
        <f t="shared" si="37"/>
        <v>0</v>
      </c>
      <c r="D156" s="152">
        <f t="shared" si="38"/>
        <v>0</v>
      </c>
      <c r="E156" s="152">
        <f t="shared" si="39"/>
        <v>0</v>
      </c>
      <c r="F156" s="187">
        <f t="shared" si="40"/>
        <v>0</v>
      </c>
      <c r="G156" s="254">
        <f t="shared" si="41"/>
        <v>0</v>
      </c>
      <c r="H156" s="254">
        <f t="shared" si="32"/>
        <v>0</v>
      </c>
      <c r="I156">
        <f t="shared" si="42"/>
        <v>0</v>
      </c>
      <c r="J156" s="152">
        <f t="shared" si="43"/>
        <v>0</v>
      </c>
      <c r="K156" s="16">
        <f t="shared" si="44"/>
        <v>0</v>
      </c>
      <c r="L156" s="254">
        <f t="shared" si="33"/>
        <v>0</v>
      </c>
      <c r="M156" s="1221"/>
      <c r="N156" s="253">
        <f t="shared" si="34"/>
        <v>0</v>
      </c>
      <c r="O156" s="187" t="e">
        <f t="shared" si="35"/>
        <v>#DIV/0!</v>
      </c>
    </row>
    <row r="157" spans="1:18" x14ac:dyDescent="0.2">
      <c r="A157" s="257" t="s">
        <v>530</v>
      </c>
      <c r="B157" s="274">
        <f t="shared" si="36"/>
        <v>0</v>
      </c>
      <c r="C157" s="272">
        <f t="shared" si="37"/>
        <v>0</v>
      </c>
      <c r="D157" s="152">
        <f t="shared" si="38"/>
        <v>0</v>
      </c>
      <c r="E157" s="152">
        <f t="shared" si="39"/>
        <v>0</v>
      </c>
      <c r="F157" s="187">
        <f t="shared" si="40"/>
        <v>0</v>
      </c>
      <c r="G157" s="254">
        <f t="shared" si="41"/>
        <v>0</v>
      </c>
      <c r="H157" s="254">
        <f t="shared" si="32"/>
        <v>0</v>
      </c>
      <c r="I157">
        <f t="shared" si="42"/>
        <v>0</v>
      </c>
      <c r="J157" s="152">
        <f t="shared" si="43"/>
        <v>0</v>
      </c>
      <c r="K157" s="16">
        <f t="shared" si="44"/>
        <v>0</v>
      </c>
      <c r="L157" s="254">
        <f t="shared" si="33"/>
        <v>0</v>
      </c>
      <c r="M157" s="1221"/>
      <c r="N157" s="253">
        <f t="shared" si="34"/>
        <v>0</v>
      </c>
      <c r="O157" s="187" t="e">
        <f t="shared" si="35"/>
        <v>#DIV/0!</v>
      </c>
    </row>
    <row r="158" spans="1:18" x14ac:dyDescent="0.2">
      <c r="A158" s="257" t="s">
        <v>531</v>
      </c>
      <c r="B158" s="274">
        <f t="shared" si="36"/>
        <v>0</v>
      </c>
      <c r="C158" s="272">
        <f t="shared" si="37"/>
        <v>0</v>
      </c>
      <c r="D158" s="152">
        <f t="shared" si="38"/>
        <v>0</v>
      </c>
      <c r="E158" s="152">
        <f t="shared" si="39"/>
        <v>0</v>
      </c>
      <c r="F158" s="187">
        <f t="shared" si="40"/>
        <v>0</v>
      </c>
      <c r="G158" s="254">
        <f t="shared" si="41"/>
        <v>0</v>
      </c>
      <c r="H158" s="254">
        <f t="shared" si="32"/>
        <v>0</v>
      </c>
      <c r="I158">
        <f t="shared" si="42"/>
        <v>0</v>
      </c>
      <c r="J158" s="152">
        <f t="shared" si="43"/>
        <v>0</v>
      </c>
      <c r="K158" s="16">
        <f t="shared" si="44"/>
        <v>0</v>
      </c>
      <c r="L158" s="254">
        <f t="shared" si="33"/>
        <v>0</v>
      </c>
      <c r="M158" s="1221"/>
      <c r="N158" s="253">
        <f t="shared" si="34"/>
        <v>0</v>
      </c>
      <c r="O158" s="187" t="e">
        <f t="shared" si="35"/>
        <v>#DIV/0!</v>
      </c>
    </row>
    <row r="159" spans="1:18" x14ac:dyDescent="0.2">
      <c r="A159" s="257" t="s">
        <v>532</v>
      </c>
      <c r="B159" s="274">
        <f t="shared" si="36"/>
        <v>0</v>
      </c>
      <c r="C159" s="272">
        <f t="shared" si="37"/>
        <v>0</v>
      </c>
      <c r="D159" s="152">
        <f t="shared" si="38"/>
        <v>0</v>
      </c>
      <c r="E159" s="152">
        <f t="shared" si="39"/>
        <v>0</v>
      </c>
      <c r="F159" s="187">
        <f t="shared" si="40"/>
        <v>0</v>
      </c>
      <c r="G159" s="254">
        <f t="shared" si="41"/>
        <v>0</v>
      </c>
      <c r="H159" s="254">
        <f t="shared" si="32"/>
        <v>0</v>
      </c>
      <c r="I159">
        <f t="shared" si="42"/>
        <v>0</v>
      </c>
      <c r="J159" s="152">
        <f t="shared" si="43"/>
        <v>0</v>
      </c>
      <c r="K159" s="16">
        <f t="shared" si="44"/>
        <v>0</v>
      </c>
      <c r="L159" s="254">
        <f t="shared" si="33"/>
        <v>0</v>
      </c>
      <c r="M159" s="1221"/>
      <c r="N159" s="253">
        <f t="shared" si="34"/>
        <v>0</v>
      </c>
      <c r="O159" s="187" t="e">
        <f t="shared" si="35"/>
        <v>#DIV/0!</v>
      </c>
    </row>
    <row r="160" spans="1:18" x14ac:dyDescent="0.2">
      <c r="A160" s="257" t="s">
        <v>533</v>
      </c>
      <c r="B160" s="274">
        <f t="shared" si="36"/>
        <v>0</v>
      </c>
      <c r="C160" s="272">
        <f t="shared" si="37"/>
        <v>0</v>
      </c>
      <c r="D160" s="152">
        <f t="shared" si="38"/>
        <v>0</v>
      </c>
      <c r="E160" s="152">
        <f t="shared" si="39"/>
        <v>0</v>
      </c>
      <c r="F160" s="187">
        <f t="shared" si="40"/>
        <v>0</v>
      </c>
      <c r="G160" s="254">
        <f t="shared" si="41"/>
        <v>0</v>
      </c>
      <c r="H160" s="254">
        <f t="shared" si="32"/>
        <v>0</v>
      </c>
      <c r="I160">
        <f t="shared" si="42"/>
        <v>0</v>
      </c>
      <c r="J160" s="152">
        <f t="shared" si="43"/>
        <v>0</v>
      </c>
      <c r="K160" s="16">
        <f t="shared" si="44"/>
        <v>0</v>
      </c>
      <c r="L160" s="254">
        <f t="shared" si="33"/>
        <v>0</v>
      </c>
      <c r="M160" s="1221"/>
      <c r="N160" s="253">
        <f t="shared" si="34"/>
        <v>0</v>
      </c>
      <c r="O160" s="187" t="e">
        <f t="shared" si="35"/>
        <v>#DIV/0!</v>
      </c>
    </row>
    <row r="161" spans="1:15" ht="13.5" thickBot="1" x14ac:dyDescent="0.25">
      <c r="A161" s="258" t="s">
        <v>534</v>
      </c>
      <c r="B161" s="274">
        <f t="shared" si="36"/>
        <v>0</v>
      </c>
      <c r="C161" s="273">
        <f t="shared" si="37"/>
        <v>0</v>
      </c>
      <c r="D161" s="152">
        <f t="shared" si="38"/>
        <v>0</v>
      </c>
      <c r="E161" s="152">
        <f t="shared" si="39"/>
        <v>0</v>
      </c>
      <c r="F161" s="187">
        <f t="shared" si="40"/>
        <v>0</v>
      </c>
      <c r="G161" s="254">
        <f t="shared" si="41"/>
        <v>0</v>
      </c>
      <c r="H161" s="254">
        <f t="shared" si="32"/>
        <v>0</v>
      </c>
      <c r="I161">
        <f t="shared" si="42"/>
        <v>0</v>
      </c>
      <c r="J161" s="152">
        <f t="shared" si="43"/>
        <v>0</v>
      </c>
      <c r="K161" s="16">
        <f t="shared" si="44"/>
        <v>0</v>
      </c>
      <c r="L161" s="254">
        <f t="shared" si="33"/>
        <v>0</v>
      </c>
      <c r="M161" s="1221"/>
      <c r="N161" s="253">
        <f t="shared" si="34"/>
        <v>0</v>
      </c>
      <c r="O161" s="187" t="e">
        <f t="shared" si="35"/>
        <v>#DIV/0!</v>
      </c>
    </row>
    <row r="162" spans="1:15" x14ac:dyDescent="0.2">
      <c r="J162" s="254"/>
      <c r="K162" s="254">
        <f>SUM(L150:L161)</f>
        <v>0</v>
      </c>
      <c r="M162" s="1221"/>
      <c r="N162"/>
    </row>
    <row r="163" spans="1:15" x14ac:dyDescent="0.2">
      <c r="A163" t="s">
        <v>591</v>
      </c>
      <c r="B163" s="16">
        <f>100*J146/C128</f>
        <v>0</v>
      </c>
      <c r="C163" s="44" t="s">
        <v>455</v>
      </c>
      <c r="I163" s="254"/>
      <c r="N163" s="254"/>
    </row>
    <row r="164" spans="1:15" x14ac:dyDescent="0.2">
      <c r="A164" s="232" t="s">
        <v>592</v>
      </c>
      <c r="B164" s="279">
        <f>100*(K162)/(D128+0.0001)</f>
        <v>0</v>
      </c>
      <c r="C164" s="233" t="s">
        <v>455</v>
      </c>
      <c r="I164" s="254"/>
      <c r="N164" s="254"/>
    </row>
    <row r="165" spans="1:15" x14ac:dyDescent="0.2">
      <c r="I165" s="254"/>
      <c r="N165" s="254"/>
    </row>
    <row r="166" spans="1:15" x14ac:dyDescent="0.2">
      <c r="I166" s="254"/>
      <c r="N166" s="254"/>
    </row>
    <row r="167" spans="1:15" x14ac:dyDescent="0.2">
      <c r="I167" s="254"/>
      <c r="N167" s="254"/>
    </row>
  </sheetData>
  <customSheetViews>
    <customSheetView guid="{2239797F-3020-4364-93B0-F22DAADF645D}" fitToPage="1" state="hidden" showRuler="0" topLeftCell="A24">
      <selection activeCell="A18" sqref="A18"/>
      <pageMargins left="0.7" right="0.7" top="0.75" bottom="0.75" header="0.3" footer="0.3"/>
      <pageSetup scale="21" orientation="landscape"/>
      <headerFooter alignWithMargins="0"/>
    </customSheetView>
  </customSheetViews>
  <mergeCells count="1">
    <mergeCell ref="B12:H12"/>
  </mergeCells>
  <phoneticPr fontId="25" type="noConversion"/>
  <pageMargins left="0.75" right="0.75" top="1" bottom="1" header="0" footer="0"/>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dimension ref="A1:U40"/>
  <sheetViews>
    <sheetView zoomScale="81" zoomScaleNormal="81" workbookViewId="0">
      <selection activeCell="K7" sqref="K7"/>
    </sheetView>
  </sheetViews>
  <sheetFormatPr baseColWidth="10" defaultRowHeight="12.75" x14ac:dyDescent="0.2"/>
  <cols>
    <col min="1" max="1" width="18.42578125" customWidth="1"/>
    <col min="2" max="4" width="8.28515625" style="1221" customWidth="1"/>
    <col min="5" max="8" width="8.28515625" customWidth="1"/>
    <col min="9" max="9" width="10.7109375" customWidth="1"/>
    <col min="11" max="11" width="8.42578125" style="1221" customWidth="1"/>
    <col min="12" max="12" width="6.7109375" style="1221" customWidth="1"/>
    <col min="13" max="13" width="7.7109375" customWidth="1"/>
    <col min="14" max="14" width="7.7109375" style="44" customWidth="1"/>
    <col min="15" max="17" width="11.42578125" style="44" customWidth="1"/>
    <col min="18" max="18" width="12" style="151" customWidth="1"/>
    <col min="19" max="19" width="11.140625" customWidth="1"/>
    <col min="20" max="20" width="8.7109375" customWidth="1"/>
    <col min="21" max="21" width="8" customWidth="1"/>
  </cols>
  <sheetData>
    <row r="1" spans="1:20" x14ac:dyDescent="0.2">
      <c r="A1" t="s">
        <v>515</v>
      </c>
      <c r="N1" t="s">
        <v>839</v>
      </c>
      <c r="O1"/>
      <c r="P1">
        <f>'R1'!D145</f>
        <v>1</v>
      </c>
      <c r="Q1" s="16" t="str">
        <f>[1]R1!F145</f>
        <v>Si</v>
      </c>
    </row>
    <row r="2" spans="1:20" x14ac:dyDescent="0.2">
      <c r="A2" t="s">
        <v>521</v>
      </c>
      <c r="B2" s="1221">
        <f>'Vivienda Objeto'!H212*P2</f>
        <v>0</v>
      </c>
      <c r="C2" s="1221" t="s">
        <v>520</v>
      </c>
      <c r="E2" t="s">
        <v>644</v>
      </c>
      <c r="I2" s="16">
        <f>'Vivienda Objeto'!H217</f>
        <v>0.14000000000000001</v>
      </c>
      <c r="N2" t="s">
        <v>840</v>
      </c>
      <c r="O2"/>
      <c r="P2">
        <f>IF(P1=1,0,1)</f>
        <v>0</v>
      </c>
    </row>
    <row r="3" spans="1:20" x14ac:dyDescent="0.2">
      <c r="A3" t="s">
        <v>545</v>
      </c>
      <c r="B3" s="1221">
        <v>0.87</v>
      </c>
      <c r="E3" t="s">
        <v>646</v>
      </c>
      <c r="I3" s="44">
        <f>S34*I2</f>
        <v>0</v>
      </c>
      <c r="J3" t="s">
        <v>647</v>
      </c>
    </row>
    <row r="4" spans="1:20" x14ac:dyDescent="0.2">
      <c r="A4" t="s">
        <v>546</v>
      </c>
      <c r="B4" s="1221">
        <v>0.2</v>
      </c>
      <c r="E4" t="s">
        <v>648</v>
      </c>
      <c r="I4" s="219">
        <f>'Vivienda Objeto'!H128</f>
        <v>628.18523869455078</v>
      </c>
    </row>
    <row r="5" spans="1:20" ht="13.5" thickBot="1" x14ac:dyDescent="0.25">
      <c r="E5" t="s">
        <v>649</v>
      </c>
      <c r="I5" s="44">
        <f>IF(I3&gt;I4,I4,I3)</f>
        <v>0</v>
      </c>
      <c r="J5" t="s">
        <v>375</v>
      </c>
      <c r="K5" s="1221">
        <f>100*I5/I4</f>
        <v>0</v>
      </c>
      <c r="L5" s="1221" t="s">
        <v>455</v>
      </c>
    </row>
    <row r="6" spans="1:20" ht="26.25" thickBot="1" x14ac:dyDescent="0.25">
      <c r="A6" t="s">
        <v>321</v>
      </c>
      <c r="B6" s="795" t="s">
        <v>535</v>
      </c>
      <c r="C6" s="795" t="s">
        <v>536</v>
      </c>
      <c r="D6" s="795" t="s">
        <v>537</v>
      </c>
      <c r="E6" s="795" t="s">
        <v>538</v>
      </c>
      <c r="F6" s="795" t="s">
        <v>539</v>
      </c>
      <c r="G6" s="795" t="s">
        <v>540</v>
      </c>
      <c r="H6" s="795" t="s">
        <v>541</v>
      </c>
      <c r="J6" s="795" t="s">
        <v>674</v>
      </c>
      <c r="K6" s="775" t="s">
        <v>805</v>
      </c>
      <c r="L6" s="799" t="s">
        <v>602</v>
      </c>
      <c r="Q6" s="785" t="s">
        <v>233</v>
      </c>
      <c r="R6" s="234"/>
    </row>
    <row r="7" spans="1:20" x14ac:dyDescent="0.2">
      <c r="A7" t="s">
        <v>523</v>
      </c>
      <c r="B7" s="776">
        <v>6.73</v>
      </c>
      <c r="C7" s="777">
        <v>6.17</v>
      </c>
      <c r="D7" s="777">
        <v>6.87</v>
      </c>
      <c r="E7" s="777">
        <v>6.72</v>
      </c>
      <c r="F7" s="777">
        <v>6.5</v>
      </c>
      <c r="G7" s="777">
        <v>5.96</v>
      </c>
      <c r="H7" s="778">
        <v>5.5</v>
      </c>
      <c r="J7" s="786">
        <f>(CHOOSE('R1'!$J$2,B7,C7,D7,E7,F7,G7,H7))</f>
        <v>6.87</v>
      </c>
      <c r="K7" s="796">
        <v>0</v>
      </c>
      <c r="L7" s="800">
        <f>R7</f>
        <v>8.1131322580645158</v>
      </c>
      <c r="Q7" s="115">
        <f>'R6'!Q5</f>
        <v>251.50710000000001</v>
      </c>
      <c r="R7" s="40">
        <f>Q7/C22</f>
        <v>8.1131322580645158</v>
      </c>
    </row>
    <row r="8" spans="1:20" x14ac:dyDescent="0.2">
      <c r="A8" t="s">
        <v>524</v>
      </c>
      <c r="B8" s="779">
        <v>6.41</v>
      </c>
      <c r="C8" s="780">
        <v>5.25</v>
      </c>
      <c r="D8" s="780">
        <v>6.01</v>
      </c>
      <c r="E8" s="780">
        <v>5.77</v>
      </c>
      <c r="F8" s="780">
        <v>6.12</v>
      </c>
      <c r="G8" s="780">
        <v>4.96</v>
      </c>
      <c r="H8" s="781">
        <v>4.2300000000000004</v>
      </c>
      <c r="J8" s="788">
        <f>(CHOOSE('R1'!$J$2,B8,C8,D8,E8,F8,G8,H8))</f>
        <v>6.01</v>
      </c>
      <c r="K8" s="797">
        <v>0</v>
      </c>
      <c r="L8" s="800">
        <f t="shared" ref="L8:L18" si="0">R8</f>
        <v>7.2015285714285708</v>
      </c>
      <c r="Q8" s="115">
        <f>'R6'!R5</f>
        <v>201.64279999999999</v>
      </c>
      <c r="R8" s="40">
        <f t="shared" ref="R8:R18" si="1">Q8/C23</f>
        <v>7.2015285714285708</v>
      </c>
    </row>
    <row r="9" spans="1:20" x14ac:dyDescent="0.2">
      <c r="A9" t="s">
        <v>525</v>
      </c>
      <c r="B9" s="779">
        <v>5.75</v>
      </c>
      <c r="C9" s="780">
        <v>4.25</v>
      </c>
      <c r="D9" s="780">
        <v>4.6500000000000004</v>
      </c>
      <c r="E9" s="780">
        <v>4.55</v>
      </c>
      <c r="F9" s="780">
        <v>4.6500000000000004</v>
      </c>
      <c r="G9" s="780">
        <v>2.79</v>
      </c>
      <c r="H9" s="781">
        <v>2.93</v>
      </c>
      <c r="J9" s="788">
        <f>(CHOOSE('R1'!$J$2,B9,C9,D9,E9,F9,G9,H9))</f>
        <v>4.6500000000000004</v>
      </c>
      <c r="K9" s="797">
        <v>0</v>
      </c>
      <c r="L9" s="800">
        <f t="shared" si="0"/>
        <v>5.6423483870967743</v>
      </c>
      <c r="Q9" s="115">
        <f>'R6'!S5</f>
        <v>174.9128</v>
      </c>
      <c r="R9" s="40">
        <f t="shared" si="1"/>
        <v>5.6423483870967743</v>
      </c>
    </row>
    <row r="10" spans="1:20" x14ac:dyDescent="0.2">
      <c r="A10" t="s">
        <v>526</v>
      </c>
      <c r="B10" s="779">
        <v>4.58</v>
      </c>
      <c r="C10" s="780">
        <v>2.88</v>
      </c>
      <c r="D10" s="780">
        <v>3.22</v>
      </c>
      <c r="E10" s="780">
        <v>3.19</v>
      </c>
      <c r="F10" s="780">
        <v>2.71</v>
      </c>
      <c r="G10" s="780">
        <v>2.0299999999999998</v>
      </c>
      <c r="H10" s="781">
        <v>1.56</v>
      </c>
      <c r="J10" s="788">
        <f>(CHOOSE('R1'!$J$2,B10,C10,D10,E10,F10,G10,H10))</f>
        <v>3.22</v>
      </c>
      <c r="K10" s="797">
        <v>0</v>
      </c>
      <c r="L10" s="800">
        <f t="shared" si="0"/>
        <v>3.8341533333333335</v>
      </c>
      <c r="Q10" s="115">
        <f>'R6'!T5</f>
        <v>115.02460000000001</v>
      </c>
      <c r="R10" s="40">
        <f t="shared" si="1"/>
        <v>3.8341533333333335</v>
      </c>
    </row>
    <row r="11" spans="1:20" x14ac:dyDescent="0.2">
      <c r="A11" t="s">
        <v>527</v>
      </c>
      <c r="B11" s="779">
        <v>3.52</v>
      </c>
      <c r="C11" s="780">
        <v>1.94</v>
      </c>
      <c r="D11" s="780">
        <v>2.25</v>
      </c>
      <c r="E11" s="780">
        <v>1.86</v>
      </c>
      <c r="F11" s="780">
        <v>1.56</v>
      </c>
      <c r="G11" s="780">
        <v>1.25</v>
      </c>
      <c r="H11" s="781">
        <v>0.79</v>
      </c>
      <c r="J11" s="788">
        <f>(CHOOSE('R1'!$J$2,B11,C11,D11,E11,F11,G11,H11))</f>
        <v>2.25</v>
      </c>
      <c r="K11" s="797">
        <v>0</v>
      </c>
      <c r="L11" s="800">
        <f t="shared" si="0"/>
        <v>2.5307787096774192</v>
      </c>
      <c r="Q11" s="115">
        <f>'R6'!U5</f>
        <v>78.454139999999995</v>
      </c>
      <c r="R11" s="40">
        <f t="shared" si="1"/>
        <v>2.5307787096774192</v>
      </c>
    </row>
    <row r="12" spans="1:20" x14ac:dyDescent="0.2">
      <c r="A12" t="s">
        <v>528</v>
      </c>
      <c r="B12" s="779">
        <v>3.17</v>
      </c>
      <c r="C12" s="780">
        <v>1.58</v>
      </c>
      <c r="D12" s="780">
        <v>1.5</v>
      </c>
      <c r="E12" s="780">
        <v>1.54</v>
      </c>
      <c r="F12" s="780">
        <v>1.1499999999999999</v>
      </c>
      <c r="G12" s="780">
        <v>1.1599999999999999</v>
      </c>
      <c r="H12" s="781">
        <v>0.5</v>
      </c>
      <c r="J12" s="788">
        <f>(CHOOSE('R1'!$J$2,B12,C12,D12,E12,F12,G12,H12))</f>
        <v>1.5</v>
      </c>
      <c r="K12" s="797">
        <v>0</v>
      </c>
      <c r="L12" s="800">
        <f t="shared" si="0"/>
        <v>1.9863036666666667</v>
      </c>
      <c r="Q12" s="115">
        <f>'R6'!V5</f>
        <v>59.589109999999998</v>
      </c>
      <c r="R12" s="40">
        <f t="shared" si="1"/>
        <v>1.9863036666666667</v>
      </c>
    </row>
    <row r="13" spans="1:20" x14ac:dyDescent="0.2">
      <c r="A13" t="s">
        <v>529</v>
      </c>
      <c r="B13" s="779">
        <v>3.39</v>
      </c>
      <c r="C13" s="780">
        <v>1.81</v>
      </c>
      <c r="D13" s="780">
        <v>1.69</v>
      </c>
      <c r="E13" s="780">
        <v>1.77</v>
      </c>
      <c r="F13" s="780">
        <v>1.17</v>
      </c>
      <c r="G13" s="780">
        <v>1.66</v>
      </c>
      <c r="H13" s="781">
        <v>0.67</v>
      </c>
      <c r="J13" s="788">
        <f>(CHOOSE('R1'!$J$2,B13,C13,D13,E13,F13,G13,H13))</f>
        <v>1.69</v>
      </c>
      <c r="K13" s="797">
        <v>0</v>
      </c>
      <c r="L13" s="800">
        <f t="shared" si="0"/>
        <v>2.3357387096774191</v>
      </c>
      <c r="Q13" s="115">
        <f>'R6'!W5</f>
        <v>72.407899999999998</v>
      </c>
      <c r="R13" s="40">
        <f t="shared" si="1"/>
        <v>2.3357387096774191</v>
      </c>
    </row>
    <row r="14" spans="1:20" x14ac:dyDescent="0.2">
      <c r="A14" t="s">
        <v>530</v>
      </c>
      <c r="B14" s="779">
        <v>3.94</v>
      </c>
      <c r="C14" s="780">
        <v>2.65</v>
      </c>
      <c r="D14" s="780">
        <v>2.5</v>
      </c>
      <c r="E14" s="780">
        <v>2.61</v>
      </c>
      <c r="F14" s="780">
        <v>2.27</v>
      </c>
      <c r="G14" s="780">
        <v>2.69</v>
      </c>
      <c r="H14" s="781">
        <v>1.1599999999999999</v>
      </c>
      <c r="J14" s="788">
        <f>(CHOOSE('R1'!$J$2,B14,C14,D14,E14,F14,G14,H14))</f>
        <v>2.5</v>
      </c>
      <c r="K14" s="797">
        <v>0</v>
      </c>
      <c r="L14" s="800">
        <f t="shared" si="0"/>
        <v>3.1269874193548386</v>
      </c>
      <c r="Q14" s="115">
        <f>'R6'!X5</f>
        <v>96.936610000000002</v>
      </c>
      <c r="R14" s="40">
        <f t="shared" si="1"/>
        <v>3.1269874193548386</v>
      </c>
    </row>
    <row r="15" spans="1:20" x14ac:dyDescent="0.2">
      <c r="A15" t="s">
        <v>531</v>
      </c>
      <c r="B15" s="779">
        <v>4.92</v>
      </c>
      <c r="C15" s="780">
        <v>3.68</v>
      </c>
      <c r="D15" s="780">
        <v>3.62</v>
      </c>
      <c r="E15" s="780">
        <v>3.76</v>
      </c>
      <c r="F15" s="780">
        <v>3.36</v>
      </c>
      <c r="G15" s="780">
        <v>3.63</v>
      </c>
      <c r="H15" s="781">
        <v>2.5</v>
      </c>
      <c r="J15" s="788">
        <f>(CHOOSE('R1'!$J$2,B15,C15,D15,E15,F15,G15,H15))</f>
        <v>3.62</v>
      </c>
      <c r="K15" s="797">
        <v>0</v>
      </c>
      <c r="L15" s="800">
        <f t="shared" si="0"/>
        <v>4.3659466666666669</v>
      </c>
      <c r="Q15" s="115">
        <f>'R6'!Y5</f>
        <v>130.97839999999999</v>
      </c>
      <c r="R15" s="40">
        <f t="shared" si="1"/>
        <v>4.3659466666666669</v>
      </c>
    </row>
    <row r="16" spans="1:20" x14ac:dyDescent="0.2">
      <c r="A16" t="s">
        <v>532</v>
      </c>
      <c r="B16" s="779">
        <v>5.96</v>
      </c>
      <c r="C16" s="780">
        <v>4.6500000000000004</v>
      </c>
      <c r="D16" s="780">
        <v>5.01</v>
      </c>
      <c r="E16" s="780">
        <v>5.0999999999999996</v>
      </c>
      <c r="F16" s="780">
        <v>4.72</v>
      </c>
      <c r="G16" s="780">
        <v>4.79</v>
      </c>
      <c r="H16" s="781">
        <v>3.6</v>
      </c>
      <c r="J16" s="788">
        <f>(CHOOSE('R1'!$J$2,B16,C16,D16,E16,F16,G16,H16))</f>
        <v>5.01</v>
      </c>
      <c r="K16" s="797">
        <v>0</v>
      </c>
      <c r="L16" s="800">
        <f t="shared" si="0"/>
        <v>6.0185709677419359</v>
      </c>
      <c r="Q16" s="115">
        <f>'R6'!Z5</f>
        <v>186.57570000000001</v>
      </c>
      <c r="R16" s="40">
        <f t="shared" si="1"/>
        <v>6.0185709677419359</v>
      </c>
      <c r="S16" t="s">
        <v>9</v>
      </c>
      <c r="T16" s="1067">
        <f>('Vivienda Objeto'!H214)</f>
        <v>10</v>
      </c>
    </row>
    <row r="17" spans="1:21" x14ac:dyDescent="0.2">
      <c r="A17" t="s">
        <v>533</v>
      </c>
      <c r="B17" s="779">
        <v>6.59</v>
      </c>
      <c r="C17" s="780">
        <v>5.83</v>
      </c>
      <c r="D17" s="780">
        <v>6.23</v>
      </c>
      <c r="E17" s="780">
        <v>6.07</v>
      </c>
      <c r="F17" s="780">
        <v>5.58</v>
      </c>
      <c r="G17" s="780">
        <v>5.64</v>
      </c>
      <c r="H17" s="781">
        <v>5.43</v>
      </c>
      <c r="J17" s="788">
        <f>(CHOOSE('R1'!$J$2,B17,C17,D17,E17,F17,G17,H17))</f>
        <v>6.23</v>
      </c>
      <c r="K17" s="797">
        <v>0</v>
      </c>
      <c r="L17" s="800">
        <f t="shared" si="0"/>
        <v>7.6109133333333334</v>
      </c>
      <c r="Q17" s="115">
        <f>'R6'!AA5</f>
        <v>228.32740000000001</v>
      </c>
      <c r="R17" s="40">
        <f t="shared" si="1"/>
        <v>7.6109133333333334</v>
      </c>
      <c r="S17" t="s">
        <v>10</v>
      </c>
      <c r="T17">
        <f>T16*T16</f>
        <v>100</v>
      </c>
    </row>
    <row r="18" spans="1:21" ht="13.5" thickBot="1" x14ac:dyDescent="0.25">
      <c r="A18" t="s">
        <v>534</v>
      </c>
      <c r="B18" s="782">
        <v>6.93</v>
      </c>
      <c r="C18" s="783">
        <v>6.15</v>
      </c>
      <c r="D18" s="783">
        <v>6.86</v>
      </c>
      <c r="E18" s="783">
        <v>6.66</v>
      </c>
      <c r="F18" s="783">
        <v>6.9</v>
      </c>
      <c r="G18" s="783">
        <v>5.38</v>
      </c>
      <c r="H18" s="784">
        <v>5.67</v>
      </c>
      <c r="J18" s="790">
        <f>(CHOOSE('R1'!$J$2,B18,C18,D18,E18,F18,G18,H18))</f>
        <v>6.86</v>
      </c>
      <c r="K18" s="798">
        <v>0</v>
      </c>
      <c r="L18" s="801">
        <f t="shared" si="0"/>
        <v>8.2621064516129028</v>
      </c>
      <c r="Q18" s="115">
        <f>'R6'!AB5</f>
        <v>256.12529999999998</v>
      </c>
      <c r="R18" s="40">
        <f t="shared" si="1"/>
        <v>8.2621064516129028</v>
      </c>
    </row>
    <row r="19" spans="1:21" x14ac:dyDescent="0.2">
      <c r="J19" s="1220"/>
      <c r="K19" s="446"/>
      <c r="L19" s="446"/>
      <c r="M19" s="1220"/>
      <c r="Q19" t="s">
        <v>621</v>
      </c>
      <c r="R19">
        <f>'Vivienda Objeto'!H215</f>
        <v>0.5</v>
      </c>
      <c r="S19" t="s">
        <v>8</v>
      </c>
      <c r="T19">
        <f>(1-3.5*T17/100000)</f>
        <v>0.99650000000000005</v>
      </c>
    </row>
    <row r="20" spans="1:21" ht="13.5" thickBot="1" x14ac:dyDescent="0.25">
      <c r="A20" t="s">
        <v>585</v>
      </c>
      <c r="K20" s="152">
        <f>J36+'[1]Vivienda Objeto'!H213/67.3</f>
        <v>-0.13015100005445651</v>
      </c>
      <c r="L20" s="152"/>
      <c r="R20" s="151" t="s">
        <v>583</v>
      </c>
      <c r="S20" t="s">
        <v>375</v>
      </c>
      <c r="U20" t="s">
        <v>431</v>
      </c>
    </row>
    <row r="21" spans="1:21" x14ac:dyDescent="0.2">
      <c r="A21" s="178" t="s">
        <v>542</v>
      </c>
      <c r="B21" s="179" t="s">
        <v>543</v>
      </c>
      <c r="C21" s="180" t="s">
        <v>299</v>
      </c>
      <c r="D21" s="1221" t="s">
        <v>548</v>
      </c>
      <c r="E21" s="1221" t="s">
        <v>549</v>
      </c>
      <c r="F21" s="1221" t="s">
        <v>553</v>
      </c>
      <c r="G21" s="40" t="s">
        <v>554</v>
      </c>
      <c r="H21" s="1221" t="s">
        <v>555</v>
      </c>
      <c r="I21" s="1221" t="s">
        <v>556</v>
      </c>
      <c r="J21" s="152" t="s">
        <v>557</v>
      </c>
      <c r="K21" s="1221" t="s">
        <v>323</v>
      </c>
      <c r="M21" s="1221" t="s">
        <v>559</v>
      </c>
      <c r="N21" s="151" t="s">
        <v>560</v>
      </c>
      <c r="O21" s="151"/>
      <c r="P21" s="151"/>
      <c r="Q21" s="151"/>
      <c r="R21" s="151" t="s">
        <v>561</v>
      </c>
      <c r="S21" s="1221" t="s">
        <v>561</v>
      </c>
      <c r="U21" t="s">
        <v>431</v>
      </c>
    </row>
    <row r="22" spans="1:21" x14ac:dyDescent="0.2">
      <c r="A22" s="181" t="s">
        <v>523</v>
      </c>
      <c r="B22" s="177">
        <v>17</v>
      </c>
      <c r="C22" s="182">
        <v>31</v>
      </c>
      <c r="D22" s="1225">
        <f>(23.45/57.3)*SIN((1/57.3)*360*(284+B22)/365)</f>
        <v>-0.36511355885833296</v>
      </c>
      <c r="E22" s="16">
        <f t="shared" ref="E22:E33" si="2">ACOS(-TAN(J$36)*TAN(D22))</f>
        <v>1.8216328906513901</v>
      </c>
      <c r="F22" s="187">
        <f t="shared" ref="F22:F33" si="3">37210*(1+0.033*COS(360*B22/(365*57.3)))*(COS(J$36)*COS(D22)*SIN(E22)+E22*SIN(J$36)*SIN(D22))/3600</f>
        <v>11.868826045157549</v>
      </c>
      <c r="G22" s="187">
        <f>L7/F22</f>
        <v>0.68356653195491501</v>
      </c>
      <c r="H22" s="16">
        <f>0.775+0.00606*(E22*57.3-90)-(0.505+0.00455*(E22*57.3-90))*COS((115*G22-103)/57.3)</f>
        <v>0.34261246882258756</v>
      </c>
      <c r="I22" s="40">
        <f>H22*L7</f>
        <v>2.7796602728196582</v>
      </c>
      <c r="J22" s="152">
        <f>L7-I22</f>
        <v>5.3334719852448575</v>
      </c>
      <c r="K22" s="40">
        <f t="shared" ref="K22:K33" si="4">ACOS(-TAN($K$20)*TAN(D22))</f>
        <v>1.6208505612269217</v>
      </c>
      <c r="L22" s="40"/>
      <c r="M22" s="40">
        <f>MIN(E22,K22)</f>
        <v>1.6208505612269217</v>
      </c>
      <c r="N22" s="16">
        <f t="shared" ref="N22:N33" si="5">(COS($K$20)*COS(D22)*SIN(M22)+M22*SIN($K$20)*SIN(D22))/(COS($J$36)*COS(D22)*SIN(E22)+E22*SIN($J$36)*SIN(D22))</f>
        <v>0.89849869304802321</v>
      </c>
      <c r="R22" s="40">
        <f>(J22*N22+I22*((1+COS('Vivienda Objeto'!H$166/57.3))/2)+$B$4*(I22+J22)*((1-COS('Vivienda Objeto'!H$166/57.3))/2))*R$19*T$19</f>
        <v>3.7052110910279787</v>
      </c>
      <c r="S22" s="44">
        <f>R22*C22*B$2</f>
        <v>0</v>
      </c>
      <c r="U22" t="s">
        <v>431</v>
      </c>
    </row>
    <row r="23" spans="1:21" x14ac:dyDescent="0.2">
      <c r="A23" s="181" t="s">
        <v>524</v>
      </c>
      <c r="B23" s="177">
        <v>47</v>
      </c>
      <c r="C23" s="182">
        <v>28</v>
      </c>
      <c r="D23" s="1225">
        <f t="shared" ref="D23:D33" si="6">(23.45/57.3)*SIN((1/57.3)*360*(284+B23)/365)</f>
        <v>-0.22622705892659814</v>
      </c>
      <c r="E23" s="16">
        <f t="shared" si="2"/>
        <v>1.7208167856552727</v>
      </c>
      <c r="F23" s="187">
        <f t="shared" si="3"/>
        <v>10.765537098518692</v>
      </c>
      <c r="G23" s="187">
        <f t="shared" ref="G23:G33" si="7">L8/F23</f>
        <v>0.66894280383089122</v>
      </c>
      <c r="H23" s="16">
        <f t="shared" ref="H23:H33" si="8">0.775+0.00606*(E23*57.3-90)-(0.505+0.00455*(E23*57.3-90))*COS((115*G23-103)/57.3)</f>
        <v>0.33835107815802934</v>
      </c>
      <c r="I23" s="40">
        <f t="shared" ref="I23:I33" si="9">H23*L8</f>
        <v>2.4366449565287098</v>
      </c>
      <c r="J23" s="152">
        <f t="shared" ref="J23:J33" si="10">L8-I23</f>
        <v>4.764883614899861</v>
      </c>
      <c r="K23" s="40">
        <f t="shared" si="4"/>
        <v>1.6009276614504435</v>
      </c>
      <c r="L23" s="40"/>
      <c r="M23" s="40">
        <f t="shared" ref="M23:M33" si="11">MIN(E23,K23)</f>
        <v>1.6009276614504435</v>
      </c>
      <c r="N23" s="16">
        <f t="shared" si="5"/>
        <v>0.99419854321914092</v>
      </c>
      <c r="R23" s="40">
        <f>(J23*N23+I23*((1+COS('Vivienda Objeto'!H$166/57.3))/2)+$B$4*(I23+J23)*((1-COS('Vivienda Objeto'!H$166/57.3))/2))*R$19*T$19</f>
        <v>3.5163257433701216</v>
      </c>
      <c r="S23" s="44">
        <f t="shared" ref="S23:S33" si="12">R23*C23*B$2</f>
        <v>0</v>
      </c>
    </row>
    <row r="24" spans="1:21" x14ac:dyDescent="0.2">
      <c r="A24" s="181" t="s">
        <v>525</v>
      </c>
      <c r="B24" s="177">
        <v>75</v>
      </c>
      <c r="C24" s="182">
        <v>31</v>
      </c>
      <c r="D24" s="1225">
        <f t="shared" si="6"/>
        <v>-4.2379612457038696E-2</v>
      </c>
      <c r="E24" s="16">
        <f t="shared" si="2"/>
        <v>1.5983353806132206</v>
      </c>
      <c r="F24" s="187">
        <f t="shared" si="3"/>
        <v>9.1213283016395099</v>
      </c>
      <c r="G24" s="187">
        <f t="shared" si="7"/>
        <v>0.61858845559616493</v>
      </c>
      <c r="H24" s="16">
        <f t="shared" si="8"/>
        <v>0.3495620362279393</v>
      </c>
      <c r="I24" s="40">
        <f t="shared" si="9"/>
        <v>1.9723507913009775</v>
      </c>
      <c r="J24" s="152">
        <f t="shared" si="10"/>
        <v>3.6699975957957971</v>
      </c>
      <c r="K24" s="40">
        <f t="shared" si="4"/>
        <v>1.5763467843092149</v>
      </c>
      <c r="L24" s="40"/>
      <c r="M24" s="40">
        <f t="shared" si="11"/>
        <v>1.5763467843092149</v>
      </c>
      <c r="N24" s="16">
        <f t="shared" si="5"/>
        <v>1.1427130676526018</v>
      </c>
      <c r="R24" s="40">
        <f>(J24*N24+I24*((1+COS('Vivienda Objeto'!H$166/57.3))/2)+$B$4*(I24+J24)*((1-COS('Vivienda Objeto'!H$166/57.3))/2))*R$19*T$19</f>
        <v>3.0230838488498462</v>
      </c>
      <c r="S24" s="44">
        <f t="shared" si="12"/>
        <v>0</v>
      </c>
    </row>
    <row r="25" spans="1:21" x14ac:dyDescent="0.2">
      <c r="A25" s="181" t="s">
        <v>526</v>
      </c>
      <c r="B25" s="177">
        <v>105</v>
      </c>
      <c r="C25" s="182">
        <v>30</v>
      </c>
      <c r="D25" s="1225">
        <f t="shared" si="6"/>
        <v>0.16412389552021314</v>
      </c>
      <c r="E25" s="16">
        <f t="shared" si="2"/>
        <v>1.463047215939933</v>
      </c>
      <c r="F25" s="187">
        <f t="shared" si="3"/>
        <v>7.1017867332130846</v>
      </c>
      <c r="G25" s="187">
        <f t="shared" si="7"/>
        <v>0.53988573261459161</v>
      </c>
      <c r="H25" s="16">
        <f t="shared" si="8"/>
        <v>0.3771852797840865</v>
      </c>
      <c r="I25" s="40">
        <f t="shared" si="9"/>
        <v>1.4461861977684214</v>
      </c>
      <c r="J25" s="152">
        <f t="shared" si="10"/>
        <v>2.3879671355649119</v>
      </c>
      <c r="K25" s="40">
        <f t="shared" si="4"/>
        <v>1.5491173154769837</v>
      </c>
      <c r="L25" s="40"/>
      <c r="M25" s="40">
        <f t="shared" si="11"/>
        <v>1.463047215939933</v>
      </c>
      <c r="N25" s="16">
        <f t="shared" si="5"/>
        <v>1.3597139832407046</v>
      </c>
      <c r="R25" s="40">
        <f>(J25*N25+I25*((1+COS('Vivienda Objeto'!H$166/57.3))/2)+$B$4*(I25+J25)*((1-COS('Vivienda Objeto'!H$166/57.3))/2))*R$19*T$19</f>
        <v>2.2987661744929806</v>
      </c>
      <c r="S25" s="44">
        <f t="shared" si="12"/>
        <v>0</v>
      </c>
    </row>
    <row r="26" spans="1:21" x14ac:dyDescent="0.2">
      <c r="A26" s="181" t="s">
        <v>527</v>
      </c>
      <c r="B26" s="177">
        <v>135</v>
      </c>
      <c r="C26" s="182">
        <v>31</v>
      </c>
      <c r="D26" s="1225">
        <f t="shared" si="6"/>
        <v>0.32782657362170481</v>
      </c>
      <c r="E26" s="16">
        <f t="shared" si="2"/>
        <v>1.3481187539886461</v>
      </c>
      <c r="F26" s="187">
        <f t="shared" si="3"/>
        <v>5.4355954534334927</v>
      </c>
      <c r="G26" s="187">
        <f t="shared" si="7"/>
        <v>0.46559364679702331</v>
      </c>
      <c r="H26" s="16">
        <f t="shared" si="8"/>
        <v>0.40715297207932555</v>
      </c>
      <c r="I26" s="40">
        <f t="shared" si="9"/>
        <v>1.0304140733202418</v>
      </c>
      <c r="J26" s="152">
        <f t="shared" si="10"/>
        <v>1.5003646363571774</v>
      </c>
      <c r="K26" s="40">
        <f t="shared" si="4"/>
        <v>1.5262658444385571</v>
      </c>
      <c r="L26" s="40"/>
      <c r="M26" s="40">
        <f t="shared" si="11"/>
        <v>1.3481187539886461</v>
      </c>
      <c r="N26" s="16">
        <f t="shared" si="5"/>
        <v>1.5969962704116336</v>
      </c>
      <c r="R26" s="40">
        <f>(J26*N26+I26*((1+COS('Vivienda Objeto'!H$166/57.3))/2)+$B$4*(I26+J26)*((1-COS('Vivienda Objeto'!H$166/57.3))/2))*R$19*T$19</f>
        <v>1.6766973928579152</v>
      </c>
      <c r="S26" s="44">
        <f t="shared" si="12"/>
        <v>0</v>
      </c>
    </row>
    <row r="27" spans="1:21" x14ac:dyDescent="0.2">
      <c r="A27" s="181" t="s">
        <v>528</v>
      </c>
      <c r="B27" s="177">
        <v>162</v>
      </c>
      <c r="C27" s="182">
        <v>30</v>
      </c>
      <c r="D27" s="1225">
        <f t="shared" si="6"/>
        <v>0.40285479246142486</v>
      </c>
      <c r="E27" s="16">
        <f t="shared" si="2"/>
        <v>1.290409498772632</v>
      </c>
      <c r="F27" s="187">
        <f t="shared" si="3"/>
        <v>4.6665559967163137</v>
      </c>
      <c r="G27" s="187">
        <f t="shared" si="7"/>
        <v>0.42564659420445328</v>
      </c>
      <c r="H27" s="16">
        <f t="shared" si="8"/>
        <v>0.42408231051881018</v>
      </c>
      <c r="I27" s="40">
        <f t="shared" si="9"/>
        <v>0.84235624835198453</v>
      </c>
      <c r="J27" s="152">
        <f t="shared" si="10"/>
        <v>1.1439474183146823</v>
      </c>
      <c r="K27" s="40">
        <f t="shared" si="4"/>
        <v>1.5149865792785444</v>
      </c>
      <c r="L27" s="40"/>
      <c r="M27" s="40">
        <f t="shared" si="11"/>
        <v>1.290409498772632</v>
      </c>
      <c r="N27" s="16">
        <f t="shared" si="5"/>
        <v>1.7404447683040078</v>
      </c>
      <c r="R27" s="40">
        <f>(J27*N27+I27*((1+COS('Vivienda Objeto'!H$166/57.3))/2)+$B$4*(I27+J27)*((1-COS('Vivienda Objeto'!H$166/57.3))/2))*R$19*T$19</f>
        <v>1.3857700788718541</v>
      </c>
      <c r="S27" s="44">
        <f t="shared" si="12"/>
        <v>0</v>
      </c>
    </row>
    <row r="28" spans="1:21" x14ac:dyDescent="0.2">
      <c r="A28" s="181" t="s">
        <v>529</v>
      </c>
      <c r="B28" s="177">
        <v>198</v>
      </c>
      <c r="C28" s="182">
        <v>31</v>
      </c>
      <c r="D28" s="1225">
        <f t="shared" si="6"/>
        <v>0.36980516887238346</v>
      </c>
      <c r="E28" s="16">
        <f t="shared" si="2"/>
        <v>1.3163471540888541</v>
      </c>
      <c r="F28" s="187">
        <f t="shared" si="3"/>
        <v>4.9806194432523698</v>
      </c>
      <c r="G28" s="187">
        <f t="shared" si="7"/>
        <v>0.46896550444981799</v>
      </c>
      <c r="H28" s="16">
        <f t="shared" si="8"/>
        <v>0.39925609671965556</v>
      </c>
      <c r="I28" s="40">
        <f t="shared" si="9"/>
        <v>0.93255792018281114</v>
      </c>
      <c r="J28" s="152">
        <f t="shared" si="10"/>
        <v>1.403180789494608</v>
      </c>
      <c r="K28" s="40">
        <f t="shared" si="4"/>
        <v>1.5200361081988618</v>
      </c>
      <c r="L28" s="40"/>
      <c r="M28" s="40">
        <f t="shared" si="11"/>
        <v>1.3163471540888541</v>
      </c>
      <c r="N28" s="16">
        <f t="shared" si="5"/>
        <v>1.6736584502222045</v>
      </c>
      <c r="R28" s="40">
        <f>(J28*N28+I28*((1+COS('Vivienda Objeto'!H$166/57.3))/2)+$B$4*(I28+J28)*((1-COS('Vivienda Objeto'!H$166/57.3))/2))*R$19*T$19</f>
        <v>1.6076376795875003</v>
      </c>
      <c r="S28" s="44">
        <f t="shared" si="12"/>
        <v>0</v>
      </c>
    </row>
    <row r="29" spans="1:21" x14ac:dyDescent="0.2">
      <c r="A29" s="181" t="s">
        <v>530</v>
      </c>
      <c r="B29" s="177">
        <v>228</v>
      </c>
      <c r="C29" s="182">
        <v>31</v>
      </c>
      <c r="D29" s="1225">
        <f t="shared" si="6"/>
        <v>0.2350335938089558</v>
      </c>
      <c r="E29" s="16">
        <f t="shared" si="2"/>
        <v>1.4146706370109108</v>
      </c>
      <c r="F29" s="187">
        <f t="shared" si="3"/>
        <v>6.3220733535922289</v>
      </c>
      <c r="G29" s="187">
        <f t="shared" si="7"/>
        <v>0.49461422613485989</v>
      </c>
      <c r="H29" s="16">
        <f t="shared" si="8"/>
        <v>0.39895625547100072</v>
      </c>
      <c r="I29" s="40">
        <f t="shared" si="9"/>
        <v>1.2475311917307343</v>
      </c>
      <c r="J29" s="152">
        <f t="shared" si="10"/>
        <v>1.8794562276241042</v>
      </c>
      <c r="K29" s="40">
        <f t="shared" si="4"/>
        <v>1.5394481589350602</v>
      </c>
      <c r="L29" s="40"/>
      <c r="M29" s="40">
        <f t="shared" si="11"/>
        <v>1.4146706370109108</v>
      </c>
      <c r="N29" s="16">
        <f t="shared" si="5"/>
        <v>1.4526550432988394</v>
      </c>
      <c r="R29" s="40">
        <f>(J29*N29+I29*((1+COS('Vivienda Objeto'!H$166/57.3))/2)+$B$4*(I29+J29)*((1-COS('Vivienda Objeto'!H$166/57.3))/2))*R$19*T$19</f>
        <v>1.9456499182781759</v>
      </c>
      <c r="S29" s="44">
        <f t="shared" si="12"/>
        <v>0</v>
      </c>
    </row>
    <row r="30" spans="1:21" x14ac:dyDescent="0.2">
      <c r="A30" s="181" t="s">
        <v>531</v>
      </c>
      <c r="B30" s="177">
        <v>258</v>
      </c>
      <c r="C30" s="182">
        <v>30</v>
      </c>
      <c r="D30" s="1225">
        <f t="shared" si="6"/>
        <v>3.8969098346458966E-2</v>
      </c>
      <c r="E30" s="16">
        <f t="shared" si="2"/>
        <v>1.5454763265382581</v>
      </c>
      <c r="F30" s="187">
        <f t="shared" si="3"/>
        <v>8.2469203744487203</v>
      </c>
      <c r="G30" s="187">
        <f t="shared" si="7"/>
        <v>0.52940327642711305</v>
      </c>
      <c r="H30" s="16">
        <f t="shared" si="8"/>
        <v>0.39651647032590864</v>
      </c>
      <c r="I30" s="40">
        <f t="shared" si="9"/>
        <v>1.7311697618978332</v>
      </c>
      <c r="J30" s="152">
        <f t="shared" si="10"/>
        <v>2.6347769047688336</v>
      </c>
      <c r="K30" s="40">
        <f t="shared" si="4"/>
        <v>1.5656930206818818</v>
      </c>
      <c r="L30" s="40"/>
      <c r="M30" s="40">
        <f t="shared" si="11"/>
        <v>1.5454763265382581</v>
      </c>
      <c r="N30" s="16">
        <f t="shared" si="5"/>
        <v>1.2206965620204686</v>
      </c>
      <c r="R30" s="40">
        <f>(J30*N30+I30*((1+COS('Vivienda Objeto'!H$166/57.3))/2)+$B$4*(I30+J30)*((1-COS('Vivienda Objeto'!H$166/57.3))/2))*R$19*T$19</f>
        <v>2.4150588086911222</v>
      </c>
      <c r="S30" s="44">
        <f t="shared" si="12"/>
        <v>0</v>
      </c>
    </row>
    <row r="31" spans="1:21" x14ac:dyDescent="0.2">
      <c r="A31" s="181" t="s">
        <v>532</v>
      </c>
      <c r="B31" s="177">
        <v>288</v>
      </c>
      <c r="C31" s="182">
        <v>31</v>
      </c>
      <c r="D31" s="1225">
        <f t="shared" si="6"/>
        <v>-0.16725790114052419</v>
      </c>
      <c r="E31" s="16">
        <f t="shared" si="2"/>
        <v>1.6806498494537163</v>
      </c>
      <c r="F31" s="187">
        <f t="shared" si="3"/>
        <v>10.151904886635952</v>
      </c>
      <c r="G31" s="187">
        <f t="shared" si="7"/>
        <v>0.59285139438853784</v>
      </c>
      <c r="H31" s="16">
        <f t="shared" si="8"/>
        <v>0.37506609573674932</v>
      </c>
      <c r="I31" s="40">
        <f t="shared" si="9"/>
        <v>2.2573619147855171</v>
      </c>
      <c r="J31" s="152">
        <f t="shared" si="10"/>
        <v>3.7612090529564188</v>
      </c>
      <c r="K31" s="40">
        <f t="shared" si="4"/>
        <v>1.5928971234980296</v>
      </c>
      <c r="L31" s="40"/>
      <c r="M31" s="40">
        <f t="shared" si="11"/>
        <v>1.5928971234980296</v>
      </c>
      <c r="N31" s="16">
        <f t="shared" si="5"/>
        <v>1.0384881504501124</v>
      </c>
      <c r="R31" s="40">
        <f>(J31*N31+I31*((1+COS('Vivienda Objeto'!H$166/57.3))/2)+$B$4*(I31+J31)*((1-COS('Vivienda Objeto'!H$166/57.3))/2))*R$19*T$19</f>
        <v>3.0094783255710564</v>
      </c>
      <c r="S31" s="44">
        <f t="shared" si="12"/>
        <v>0</v>
      </c>
    </row>
    <row r="32" spans="1:21" x14ac:dyDescent="0.2">
      <c r="A32" s="181" t="s">
        <v>533</v>
      </c>
      <c r="B32" s="177">
        <v>318</v>
      </c>
      <c r="C32" s="182">
        <v>30</v>
      </c>
      <c r="D32" s="1225">
        <f t="shared" si="6"/>
        <v>-0.32986677330118774</v>
      </c>
      <c r="E32" s="16">
        <f t="shared" si="2"/>
        <v>1.7949906653394814</v>
      </c>
      <c r="F32" s="187">
        <f t="shared" si="3"/>
        <v>11.525661095742887</v>
      </c>
      <c r="G32" s="187">
        <f t="shared" si="7"/>
        <v>0.66034505700887713</v>
      </c>
      <c r="H32" s="16">
        <f t="shared" si="8"/>
        <v>0.35108440081445713</v>
      </c>
      <c r="I32" s="40">
        <f t="shared" si="9"/>
        <v>2.6720729472840961</v>
      </c>
      <c r="J32" s="152">
        <f t="shared" si="10"/>
        <v>4.9388403860492378</v>
      </c>
      <c r="K32" s="40">
        <f t="shared" si="4"/>
        <v>1.6156252459242502</v>
      </c>
      <c r="L32" s="40"/>
      <c r="M32" s="40">
        <f t="shared" si="11"/>
        <v>1.6156252459242502</v>
      </c>
      <c r="N32" s="16">
        <f t="shared" si="5"/>
        <v>0.92184954628427318</v>
      </c>
      <c r="R32" s="40">
        <f>(J32*N32+I32*((1+COS('Vivienda Objeto'!H$166/57.3))/2)+$B$4*(I32+J32)*((1-COS('Vivienda Objeto'!H$166/57.3))/2))*R$19*T$19</f>
        <v>3.5328157703192158</v>
      </c>
      <c r="S32" s="44">
        <f t="shared" si="12"/>
        <v>0</v>
      </c>
    </row>
    <row r="33" spans="1:19" ht="13.5" thickBot="1" x14ac:dyDescent="0.25">
      <c r="A33" s="183" t="s">
        <v>534</v>
      </c>
      <c r="B33" s="184">
        <v>344</v>
      </c>
      <c r="C33" s="185">
        <v>31</v>
      </c>
      <c r="D33" s="1225">
        <f t="shared" si="6"/>
        <v>-0.40220217570424188</v>
      </c>
      <c r="E33" s="16">
        <f t="shared" si="2"/>
        <v>1.8506622508568595</v>
      </c>
      <c r="F33" s="187">
        <f t="shared" si="3"/>
        <v>12.107060429968316</v>
      </c>
      <c r="G33" s="187">
        <f t="shared" si="7"/>
        <v>0.68242051812691951</v>
      </c>
      <c r="H33" s="16">
        <f t="shared" si="8"/>
        <v>0.34634982795784941</v>
      </c>
      <c r="I33" s="40">
        <f t="shared" si="9"/>
        <v>2.8615791480855663</v>
      </c>
      <c r="J33" s="152">
        <f t="shared" si="10"/>
        <v>5.4005273035273369</v>
      </c>
      <c r="K33" s="40">
        <f t="shared" si="4"/>
        <v>1.6265050099061811</v>
      </c>
      <c r="L33" s="40"/>
      <c r="M33" s="40">
        <f t="shared" si="11"/>
        <v>1.6265050099061811</v>
      </c>
      <c r="N33" s="16">
        <f t="shared" si="5"/>
        <v>0.87447182884422481</v>
      </c>
      <c r="R33" s="40">
        <f>(J33*N33+I33*((1+COS('Vivienda Objeto'!H$166/57.3))/2)+$B$4*(I33+J33)*((1-COS('Vivienda Objeto'!H$166/57.3))/2))*R$19*T$19</f>
        <v>3.7083569231235782</v>
      </c>
      <c r="S33" s="44">
        <f t="shared" si="12"/>
        <v>0</v>
      </c>
    </row>
    <row r="34" spans="1:19" x14ac:dyDescent="0.2">
      <c r="S34" s="44">
        <f>SUM(S22:S33)</f>
        <v>0</v>
      </c>
    </row>
    <row r="35" spans="1:19" ht="13.5" thickBot="1" x14ac:dyDescent="0.25">
      <c r="A35" t="s">
        <v>321</v>
      </c>
      <c r="B35" s="1221" t="s">
        <v>535</v>
      </c>
      <c r="C35" s="1221" t="s">
        <v>536</v>
      </c>
      <c r="D35" s="1221" t="s">
        <v>537</v>
      </c>
      <c r="E35" s="1221" t="s">
        <v>538</v>
      </c>
      <c r="F35" s="1221" t="s">
        <v>539</v>
      </c>
      <c r="G35" s="1221" t="s">
        <v>540</v>
      </c>
      <c r="H35" s="1221" t="s">
        <v>541</v>
      </c>
      <c r="J35" s="1221" t="s">
        <v>550</v>
      </c>
    </row>
    <row r="36" spans="1:19" x14ac:dyDescent="0.2">
      <c r="A36" t="s">
        <v>547</v>
      </c>
      <c r="B36" s="169">
        <v>-23</v>
      </c>
      <c r="C36" s="170">
        <v>-33</v>
      </c>
      <c r="D36" s="170">
        <v>-33</v>
      </c>
      <c r="E36" s="170">
        <v>-37</v>
      </c>
      <c r="F36" s="170">
        <v>-39</v>
      </c>
      <c r="G36" s="170">
        <v>-41</v>
      </c>
      <c r="H36" s="171">
        <v>-53</v>
      </c>
      <c r="J36" s="20">
        <f>(CHOOSE('R1'!$J$2,B36,C36,D36,E36,F36,G36,H36))/57.3</f>
        <v>-0.5759162303664922</v>
      </c>
    </row>
    <row r="37" spans="1:19" x14ac:dyDescent="0.2">
      <c r="B37" s="172"/>
      <c r="C37" s="168"/>
      <c r="D37" s="168"/>
      <c r="E37" s="168"/>
      <c r="F37" s="168"/>
      <c r="G37" s="168"/>
      <c r="H37" s="173"/>
    </row>
    <row r="38" spans="1:19" x14ac:dyDescent="0.2">
      <c r="B38" s="172"/>
      <c r="C38" s="168"/>
      <c r="D38" s="168"/>
      <c r="E38" s="168"/>
      <c r="F38" s="168"/>
      <c r="G38" s="168"/>
      <c r="H38" s="173"/>
    </row>
    <row r="39" spans="1:19" x14ac:dyDescent="0.2">
      <c r="B39" s="172"/>
      <c r="C39" s="168"/>
      <c r="D39" s="168"/>
      <c r="E39" s="168"/>
      <c r="F39" s="168"/>
      <c r="G39" s="168"/>
      <c r="H39" s="173"/>
    </row>
    <row r="40" spans="1:19" x14ac:dyDescent="0.2">
      <c r="B40" s="172"/>
      <c r="C40" s="168"/>
      <c r="D40" s="168"/>
      <c r="E40" s="168"/>
      <c r="F40" s="168"/>
      <c r="G40" s="168"/>
      <c r="H40" s="173"/>
    </row>
  </sheetData>
  <customSheetViews>
    <customSheetView guid="{2239797F-3020-4364-93B0-F22DAADF645D}" state="hidden" showRuler="0">
      <selection activeCell="A18" sqref="A18"/>
      <pageMargins left="0.7" right="0.7" top="0.75" bottom="0.75" header="0.3" footer="0.3"/>
      <pageSetup orientation="portrait"/>
      <headerFooter alignWithMargins="0"/>
    </customSheetView>
  </customSheetViews>
  <phoneticPr fontId="25" type="noConversion"/>
  <pageMargins left="0.75" right="0.75" top="1" bottom="1" header="0" footer="0"/>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7"/>
  <sheetViews>
    <sheetView workbookViewId="0"/>
  </sheetViews>
  <sheetFormatPr baseColWidth="10" defaultRowHeight="12.75" x14ac:dyDescent="0.2"/>
  <cols>
    <col min="1" max="1" width="15.42578125" customWidth="1"/>
    <col min="2" max="14" width="10.85546875" style="219"/>
    <col min="17" max="28" width="7.85546875" style="8" customWidth="1"/>
  </cols>
  <sheetData>
    <row r="1" spans="1:28" x14ac:dyDescent="0.2">
      <c r="A1" t="s">
        <v>321</v>
      </c>
      <c r="P1" s="767" t="s">
        <v>231</v>
      </c>
    </row>
    <row r="2" spans="1:28" ht="13.5" thickBot="1" x14ac:dyDescent="0.25">
      <c r="B2" s="219" t="s">
        <v>523</v>
      </c>
      <c r="C2" s="219" t="s">
        <v>524</v>
      </c>
      <c r="D2" s="219" t="s">
        <v>525</v>
      </c>
      <c r="E2" s="219" t="s">
        <v>526</v>
      </c>
      <c r="F2" s="219" t="s">
        <v>527</v>
      </c>
      <c r="G2" s="219" t="s">
        <v>528</v>
      </c>
      <c r="H2" s="219" t="s">
        <v>529</v>
      </c>
      <c r="I2" s="219" t="s">
        <v>530</v>
      </c>
      <c r="J2" s="219" t="s">
        <v>531</v>
      </c>
      <c r="K2" s="219" t="s">
        <v>532</v>
      </c>
      <c r="L2" s="219" t="s">
        <v>533</v>
      </c>
      <c r="M2" s="219" t="s">
        <v>534</v>
      </c>
      <c r="N2" s="219" t="s">
        <v>434</v>
      </c>
      <c r="P2" s="768">
        <v>110</v>
      </c>
    </row>
    <row r="3" spans="1:28" ht="13.5" thickBot="1" x14ac:dyDescent="0.25">
      <c r="A3" t="s">
        <v>991</v>
      </c>
      <c r="B3" s="219">
        <v>193.94120000000001</v>
      </c>
      <c r="C3" s="219">
        <v>151.06280000000001</v>
      </c>
      <c r="D3" s="219">
        <v>133.4873</v>
      </c>
      <c r="E3" s="219">
        <v>88.546090000000007</v>
      </c>
      <c r="F3" s="219">
        <v>61</v>
      </c>
      <c r="G3" s="219">
        <v>48</v>
      </c>
      <c r="H3" s="219">
        <v>56.970599999999997</v>
      </c>
      <c r="I3" s="219">
        <v>79.453909999999993</v>
      </c>
      <c r="J3" s="219">
        <v>107.3617</v>
      </c>
      <c r="K3" s="219">
        <v>146.4539</v>
      </c>
      <c r="L3" s="219">
        <v>175.39510000000001</v>
      </c>
      <c r="M3" s="219">
        <v>194.94120000000001</v>
      </c>
      <c r="N3" s="219">
        <v>1436.6138000000001</v>
      </c>
    </row>
    <row r="4" spans="1:28" ht="13.5" thickBot="1" x14ac:dyDescent="0.25">
      <c r="A4" t="s">
        <v>992</v>
      </c>
      <c r="B4" s="219">
        <v>219.93610000000001</v>
      </c>
      <c r="C4" s="219">
        <v>174.6223</v>
      </c>
      <c r="D4" s="219">
        <v>151.69759999999999</v>
      </c>
      <c r="E4" s="219">
        <v>99.174120000000002</v>
      </c>
      <c r="F4" s="219">
        <v>65.964730000000003</v>
      </c>
      <c r="G4" s="219">
        <v>49.133470000000003</v>
      </c>
      <c r="H4" s="219">
        <v>61.14817</v>
      </c>
      <c r="I4" s="219">
        <v>83.04316</v>
      </c>
      <c r="J4" s="219">
        <v>114.8629</v>
      </c>
      <c r="K4" s="219">
        <v>160.78729999999999</v>
      </c>
      <c r="L4" s="219">
        <v>197.1276</v>
      </c>
      <c r="M4" s="219">
        <v>219.96199999999999</v>
      </c>
      <c r="N4" s="219">
        <v>1597.4594500000001</v>
      </c>
      <c r="P4" s="773" t="str">
        <f>INDEX($A$3:$M$347,$P$2,1)</f>
        <v>Huechuraba</v>
      </c>
      <c r="Q4" s="769" t="s">
        <v>523</v>
      </c>
      <c r="R4" s="770" t="s">
        <v>524</v>
      </c>
      <c r="S4" s="770" t="s">
        <v>525</v>
      </c>
      <c r="T4" s="770" t="s">
        <v>526</v>
      </c>
      <c r="U4" s="770" t="s">
        <v>527</v>
      </c>
      <c r="V4" s="770" t="s">
        <v>528</v>
      </c>
      <c r="W4" s="770" t="s">
        <v>529</v>
      </c>
      <c r="X4" s="770" t="s">
        <v>530</v>
      </c>
      <c r="Y4" s="770" t="s">
        <v>531</v>
      </c>
      <c r="Z4" s="770" t="s">
        <v>532</v>
      </c>
      <c r="AA4" s="770" t="s">
        <v>533</v>
      </c>
      <c r="AB4" s="771" t="s">
        <v>534</v>
      </c>
    </row>
    <row r="5" spans="1:28" ht="13.5" thickBot="1" x14ac:dyDescent="0.25">
      <c r="A5" t="s">
        <v>993</v>
      </c>
      <c r="B5" s="219">
        <v>239.47929999999999</v>
      </c>
      <c r="C5" s="219">
        <v>205.14750000000001</v>
      </c>
      <c r="D5" s="219">
        <v>165.6626</v>
      </c>
      <c r="E5" s="219">
        <v>103.8565</v>
      </c>
      <c r="F5" s="219">
        <v>69.436199999999999</v>
      </c>
      <c r="G5" s="219">
        <v>48.772390000000001</v>
      </c>
      <c r="H5" s="219">
        <v>54.601260000000003</v>
      </c>
      <c r="I5" s="219">
        <v>76.166319999999999</v>
      </c>
      <c r="J5" s="219">
        <v>102.9627</v>
      </c>
      <c r="K5" s="219">
        <v>161.80449999999999</v>
      </c>
      <c r="L5" s="219">
        <v>196.10380000000001</v>
      </c>
      <c r="M5" s="219">
        <v>225.6593</v>
      </c>
      <c r="N5" s="219">
        <v>1649.65237</v>
      </c>
      <c r="Q5" s="772">
        <f>INDEX($A$3:$M$347,$P$2,2)</f>
        <v>251.50710000000001</v>
      </c>
      <c r="R5" s="122">
        <f>INDEX($A$3:$M$347,$P$2,3)</f>
        <v>201.64279999999999</v>
      </c>
      <c r="S5" s="122">
        <f>INDEX($A$3:$M$347,$P$2,4)</f>
        <v>174.9128</v>
      </c>
      <c r="T5" s="122">
        <f>INDEX($A$3:$M$347,$P$2,5)</f>
        <v>115.02460000000001</v>
      </c>
      <c r="U5" s="122">
        <f>INDEX($A$3:$M$347,$P$2,6)</f>
        <v>78.454139999999995</v>
      </c>
      <c r="V5" s="122">
        <f>INDEX($A$3:$M$347,$P$2,7)</f>
        <v>59.589109999999998</v>
      </c>
      <c r="W5" s="122">
        <f>INDEX($A$3:$M$347,$P$2,8)</f>
        <v>72.407899999999998</v>
      </c>
      <c r="X5" s="122">
        <f>INDEX($A$3:$M$347,$P$2,9)</f>
        <v>96.936610000000002</v>
      </c>
      <c r="Y5" s="122">
        <f>INDEX($A$3:$M$347,$P$2,10)</f>
        <v>130.97839999999999</v>
      </c>
      <c r="Z5" s="122">
        <f>INDEX($A$3:$M$347,$P$2,11)</f>
        <v>186.57570000000001</v>
      </c>
      <c r="AA5" s="122">
        <f>INDEX($A$3:$M$347,$P$2,12)</f>
        <v>228.32740000000001</v>
      </c>
      <c r="AB5" s="123">
        <f>INDEX($A$3:$M$347,$P$2,13)</f>
        <v>256.12529999999998</v>
      </c>
    </row>
    <row r="6" spans="1:28" x14ac:dyDescent="0.2">
      <c r="A6" t="s">
        <v>994</v>
      </c>
      <c r="B6" s="219">
        <v>258.3535</v>
      </c>
      <c r="C6" s="219">
        <v>224.0959</v>
      </c>
      <c r="D6" s="219">
        <v>202.18279999999999</v>
      </c>
      <c r="E6" s="219">
        <v>152.81440000000001</v>
      </c>
      <c r="F6" s="219">
        <v>126.8327</v>
      </c>
      <c r="G6" s="219">
        <v>105.35550000000001</v>
      </c>
      <c r="H6" s="219">
        <v>114.7859</v>
      </c>
      <c r="I6" s="219">
        <v>136.91900000000001</v>
      </c>
      <c r="J6" s="219">
        <v>168.52340000000001</v>
      </c>
      <c r="K6" s="219">
        <v>223.07390000000001</v>
      </c>
      <c r="L6" s="219">
        <v>242.1464</v>
      </c>
      <c r="M6" s="219">
        <v>289.59780000000001</v>
      </c>
      <c r="N6" s="219">
        <v>2244.6812000000004</v>
      </c>
    </row>
    <row r="7" spans="1:28" x14ac:dyDescent="0.2">
      <c r="A7" t="s">
        <v>995</v>
      </c>
      <c r="B7" s="219">
        <v>215.89699999999999</v>
      </c>
      <c r="C7" s="219">
        <v>192.99539999999999</v>
      </c>
      <c r="D7" s="219">
        <v>198.83529999999999</v>
      </c>
      <c r="E7" s="219">
        <v>150.5078</v>
      </c>
      <c r="F7" s="219">
        <v>136.95859999999999</v>
      </c>
      <c r="G7" s="219">
        <v>119.93559999999999</v>
      </c>
      <c r="H7" s="219">
        <v>121.2557</v>
      </c>
      <c r="I7" s="219">
        <v>132.71109999999999</v>
      </c>
      <c r="J7" s="219">
        <v>157.0248</v>
      </c>
      <c r="K7" s="219">
        <v>199.1848</v>
      </c>
      <c r="L7" s="219">
        <v>214.59700000000001</v>
      </c>
      <c r="M7" s="219">
        <v>229.80770000000001</v>
      </c>
      <c r="N7" s="219">
        <v>2069.7107999999998</v>
      </c>
    </row>
    <row r="8" spans="1:28" x14ac:dyDescent="0.2">
      <c r="A8" t="s">
        <v>996</v>
      </c>
      <c r="B8" s="219">
        <v>174.56909999999999</v>
      </c>
      <c r="C8" s="219">
        <v>149.3382</v>
      </c>
      <c r="D8" s="219">
        <v>109.5329</v>
      </c>
      <c r="E8" s="219">
        <v>70.515569999999997</v>
      </c>
      <c r="F8" s="219">
        <v>43.36083</v>
      </c>
      <c r="G8" s="219">
        <v>30.152570000000001</v>
      </c>
      <c r="H8" s="219">
        <v>36.82582</v>
      </c>
      <c r="I8" s="219">
        <v>58.454990000000002</v>
      </c>
      <c r="J8" s="219">
        <v>84.996390000000005</v>
      </c>
      <c r="K8" s="219">
        <v>118.6855</v>
      </c>
      <c r="L8" s="219">
        <v>142.6071</v>
      </c>
      <c r="M8" s="219">
        <v>170.81809999999999</v>
      </c>
      <c r="N8" s="219">
        <v>1189.8570699999998</v>
      </c>
    </row>
    <row r="9" spans="1:28" x14ac:dyDescent="0.2">
      <c r="A9" t="s">
        <v>997</v>
      </c>
      <c r="B9" s="219">
        <v>219.75620000000001</v>
      </c>
      <c r="C9" s="219">
        <v>184.8306</v>
      </c>
      <c r="D9" s="219">
        <v>167.65129999999999</v>
      </c>
      <c r="E9" s="219">
        <v>124.01990000000001</v>
      </c>
      <c r="F9" s="219">
        <v>95.96678</v>
      </c>
      <c r="G9" s="219">
        <v>80.674139999999994</v>
      </c>
      <c r="H9" s="219">
        <v>91.718549999999993</v>
      </c>
      <c r="I9" s="219">
        <v>111.5766</v>
      </c>
      <c r="J9" s="219">
        <v>143.6052</v>
      </c>
      <c r="K9" s="219">
        <v>192.7775</v>
      </c>
      <c r="L9" s="219">
        <v>210.46190000000001</v>
      </c>
      <c r="M9" s="219">
        <v>232.55950000000001</v>
      </c>
      <c r="N9" s="219">
        <v>1855.59817</v>
      </c>
    </row>
    <row r="10" spans="1:28" x14ac:dyDescent="0.2">
      <c r="A10" t="s">
        <v>998</v>
      </c>
      <c r="B10" s="219">
        <v>211.64230000000001</v>
      </c>
      <c r="C10" s="219">
        <v>170.32859999999999</v>
      </c>
      <c r="D10" s="219">
        <v>144.72659999999999</v>
      </c>
      <c r="E10" s="219">
        <v>91.416349999999994</v>
      </c>
      <c r="F10" s="219">
        <v>56.927700000000002</v>
      </c>
      <c r="G10" s="219">
        <v>43.871679999999998</v>
      </c>
      <c r="H10" s="219">
        <v>48.27617</v>
      </c>
      <c r="I10" s="219">
        <v>72.395420000000001</v>
      </c>
      <c r="J10" s="219">
        <v>106.5894</v>
      </c>
      <c r="K10" s="219">
        <v>153.87110000000001</v>
      </c>
      <c r="L10" s="219">
        <v>179.42240000000001</v>
      </c>
      <c r="M10" s="219">
        <v>203.45429999999999</v>
      </c>
      <c r="N10" s="219">
        <v>1482.9220199999995</v>
      </c>
    </row>
    <row r="11" spans="1:28" x14ac:dyDescent="0.2">
      <c r="A11" t="s">
        <v>999</v>
      </c>
      <c r="B11" s="219">
        <v>244.71860000000001</v>
      </c>
      <c r="C11" s="219">
        <v>220.74109999999999</v>
      </c>
      <c r="D11" s="219">
        <v>210.94280000000001</v>
      </c>
      <c r="E11" s="219">
        <v>164.3767</v>
      </c>
      <c r="F11" s="219">
        <v>146.44550000000001</v>
      </c>
      <c r="G11" s="219">
        <v>131.90690000000001</v>
      </c>
      <c r="H11" s="219">
        <v>142.65459999999999</v>
      </c>
      <c r="I11" s="219">
        <v>158.9922</v>
      </c>
      <c r="J11" s="219">
        <v>176.56370000000001</v>
      </c>
      <c r="K11" s="219">
        <v>228.87190000000001</v>
      </c>
      <c r="L11" s="219">
        <v>250.60570000000001</v>
      </c>
      <c r="M11" s="219">
        <v>283.16770000000002</v>
      </c>
      <c r="N11" s="219">
        <v>2359.9874</v>
      </c>
    </row>
    <row r="12" spans="1:28" x14ac:dyDescent="0.2">
      <c r="A12" t="s">
        <v>1000</v>
      </c>
      <c r="B12" s="219">
        <v>237.0737</v>
      </c>
      <c r="C12" s="219">
        <v>200.95410000000001</v>
      </c>
      <c r="D12" s="219">
        <v>164.55439999999999</v>
      </c>
      <c r="E12" s="219">
        <v>104.87739999999999</v>
      </c>
      <c r="F12" s="219">
        <v>68.84496</v>
      </c>
      <c r="G12" s="219">
        <v>48.156300000000002</v>
      </c>
      <c r="H12" s="219">
        <v>51.568399999999997</v>
      </c>
      <c r="I12" s="219">
        <v>72.747559999999993</v>
      </c>
      <c r="J12" s="219">
        <v>102.6413</v>
      </c>
      <c r="K12" s="219">
        <v>158.9298</v>
      </c>
      <c r="L12" s="219">
        <v>192.77420000000001</v>
      </c>
      <c r="M12" s="219">
        <v>227.012</v>
      </c>
      <c r="N12" s="219">
        <v>1630.1341200000002</v>
      </c>
    </row>
    <row r="13" spans="1:28" x14ac:dyDescent="0.2">
      <c r="A13" t="s">
        <v>1001</v>
      </c>
      <c r="B13" s="219">
        <v>205.6216</v>
      </c>
      <c r="C13" s="219">
        <v>156.87350000000001</v>
      </c>
      <c r="D13" s="219">
        <v>138.41820000000001</v>
      </c>
      <c r="E13" s="219">
        <v>90.311390000000003</v>
      </c>
      <c r="F13" s="219">
        <v>52.984859999999998</v>
      </c>
      <c r="G13" s="219">
        <v>41.654739999999997</v>
      </c>
      <c r="H13" s="219">
        <v>45.688330000000001</v>
      </c>
      <c r="I13" s="219">
        <v>70.244219999999999</v>
      </c>
      <c r="J13" s="219">
        <v>104.8198</v>
      </c>
      <c r="K13" s="219">
        <v>151.642</v>
      </c>
      <c r="L13" s="219">
        <v>177.7022</v>
      </c>
      <c r="M13" s="219">
        <v>199.6463</v>
      </c>
      <c r="N13" s="219">
        <v>1435.6071400000001</v>
      </c>
    </row>
    <row r="14" spans="1:28" x14ac:dyDescent="0.2">
      <c r="A14" t="s">
        <v>1002</v>
      </c>
      <c r="B14" s="219">
        <v>228.66239999999999</v>
      </c>
      <c r="C14" s="219">
        <v>200.46510000000001</v>
      </c>
      <c r="D14" s="219">
        <v>208.59139999999999</v>
      </c>
      <c r="E14" s="219">
        <v>178.1686</v>
      </c>
      <c r="F14" s="219">
        <v>161.04179999999999</v>
      </c>
      <c r="G14" s="219">
        <v>143.51259999999999</v>
      </c>
      <c r="H14" s="219">
        <v>155.4401</v>
      </c>
      <c r="I14" s="219">
        <v>170.93960000000001</v>
      </c>
      <c r="J14" s="219">
        <v>191.7269</v>
      </c>
      <c r="K14" s="219">
        <v>229.72730000000001</v>
      </c>
      <c r="L14" s="219">
        <v>235.27760000000001</v>
      </c>
      <c r="M14" s="219">
        <v>238.11019999999999</v>
      </c>
      <c r="N14" s="219">
        <v>2341.6635999999999</v>
      </c>
    </row>
    <row r="15" spans="1:28" x14ac:dyDescent="0.2">
      <c r="A15" t="s">
        <v>1003</v>
      </c>
      <c r="B15" s="219">
        <v>161.3484</v>
      </c>
      <c r="C15" s="219">
        <v>129.62649999999999</v>
      </c>
      <c r="D15" s="219">
        <v>104.742</v>
      </c>
      <c r="E15" s="219">
        <v>60.715359999999997</v>
      </c>
      <c r="F15" s="219">
        <v>35.257770000000001</v>
      </c>
      <c r="G15" s="219">
        <v>26.50675</v>
      </c>
      <c r="H15" s="219">
        <v>31.48047</v>
      </c>
      <c r="I15" s="219">
        <v>52.504489999999997</v>
      </c>
      <c r="J15" s="219">
        <v>85.857200000000006</v>
      </c>
      <c r="K15" s="219">
        <v>127.2175</v>
      </c>
      <c r="L15" s="219">
        <v>145.63300000000001</v>
      </c>
      <c r="M15" s="219">
        <v>165.27119999999999</v>
      </c>
      <c r="N15" s="219">
        <v>1126.1606400000001</v>
      </c>
    </row>
    <row r="16" spans="1:28" x14ac:dyDescent="0.2">
      <c r="A16" t="s">
        <v>1004</v>
      </c>
      <c r="B16" s="219">
        <v>243.12389999999999</v>
      </c>
      <c r="C16" s="219">
        <v>194.46530000000001</v>
      </c>
      <c r="D16" s="219">
        <v>168.07910000000001</v>
      </c>
      <c r="E16" s="219">
        <v>111.7268</v>
      </c>
      <c r="F16" s="219">
        <v>76.681970000000007</v>
      </c>
      <c r="G16" s="219">
        <v>56.729579999999999</v>
      </c>
      <c r="H16" s="219">
        <v>70.681970000000007</v>
      </c>
      <c r="I16" s="219">
        <v>93.012749999999997</v>
      </c>
      <c r="J16" s="219">
        <v>127.9777</v>
      </c>
      <c r="K16" s="219">
        <v>178.1626</v>
      </c>
      <c r="L16" s="219">
        <v>218.6832</v>
      </c>
      <c r="M16" s="219">
        <v>246.29419999999999</v>
      </c>
      <c r="N16" s="219">
        <v>1785.61907</v>
      </c>
    </row>
    <row r="17" spans="1:14" x14ac:dyDescent="0.2">
      <c r="A17" t="s">
        <v>1005</v>
      </c>
      <c r="B17" s="219">
        <v>217.99270000000001</v>
      </c>
      <c r="C17" s="219">
        <v>166.6618</v>
      </c>
      <c r="D17" s="219">
        <v>146.6618</v>
      </c>
      <c r="E17" s="219">
        <v>96.661779999999993</v>
      </c>
      <c r="F17" s="219">
        <v>56.330889999999997</v>
      </c>
      <c r="G17" s="219">
        <v>44</v>
      </c>
      <c r="H17" s="219">
        <v>49</v>
      </c>
      <c r="I17" s="219">
        <v>74.330889999999997</v>
      </c>
      <c r="J17" s="219">
        <v>111.6618</v>
      </c>
      <c r="K17" s="219">
        <v>160.99270000000001</v>
      </c>
      <c r="L17" s="219">
        <v>188.99270000000001</v>
      </c>
      <c r="M17" s="219">
        <v>210.3236</v>
      </c>
      <c r="N17" s="219">
        <v>1523.6106599999998</v>
      </c>
    </row>
    <row r="18" spans="1:14" x14ac:dyDescent="0.2">
      <c r="A18" t="s">
        <v>1006</v>
      </c>
      <c r="B18" s="219">
        <v>243.97049999999999</v>
      </c>
      <c r="C18" s="219">
        <v>200.79060000000001</v>
      </c>
      <c r="D18" s="219">
        <v>169.6414</v>
      </c>
      <c r="E18" s="219">
        <v>120.20659999999999</v>
      </c>
      <c r="F18" s="219">
        <v>90.959860000000006</v>
      </c>
      <c r="G18" s="219">
        <v>67.083879999999994</v>
      </c>
      <c r="H18" s="219">
        <v>78.967420000000004</v>
      </c>
      <c r="I18" s="219">
        <v>100.1288</v>
      </c>
      <c r="J18" s="219">
        <v>133.68610000000001</v>
      </c>
      <c r="K18" s="219">
        <v>183.43539999999999</v>
      </c>
      <c r="L18" s="219">
        <v>220.20140000000001</v>
      </c>
      <c r="M18" s="219">
        <v>252.6575</v>
      </c>
      <c r="N18" s="219">
        <v>1861.72946</v>
      </c>
    </row>
    <row r="19" spans="1:14" x14ac:dyDescent="0.2">
      <c r="A19" t="s">
        <v>1007</v>
      </c>
      <c r="B19" s="219">
        <v>131.00200000000001</v>
      </c>
      <c r="C19" s="219">
        <v>92.886309999999995</v>
      </c>
      <c r="D19" s="219">
        <v>71.981009999999998</v>
      </c>
      <c r="E19" s="219">
        <v>37.906059999999997</v>
      </c>
      <c r="F19" s="219">
        <v>19.598590000000002</v>
      </c>
      <c r="G19" s="219">
        <v>10.277799999999999</v>
      </c>
      <c r="H19" s="219">
        <v>14.04806</v>
      </c>
      <c r="I19" s="219">
        <v>30.73188</v>
      </c>
      <c r="J19" s="219">
        <v>63.037129999999998</v>
      </c>
      <c r="K19" s="219">
        <v>100.2287</v>
      </c>
      <c r="L19" s="219">
        <v>131.67740000000001</v>
      </c>
      <c r="M19" s="219">
        <v>144.76009999999999</v>
      </c>
      <c r="N19" s="219">
        <v>848.13504000000012</v>
      </c>
    </row>
    <row r="20" spans="1:14" x14ac:dyDescent="0.2">
      <c r="A20" t="s">
        <v>1008</v>
      </c>
      <c r="B20" s="219">
        <v>216.17019999999999</v>
      </c>
      <c r="C20" s="219">
        <v>165.50720000000001</v>
      </c>
      <c r="D20" s="219">
        <v>144.95359999999999</v>
      </c>
      <c r="E20" s="219">
        <v>95.169970000000006</v>
      </c>
      <c r="F20" s="219">
        <v>56.0002</v>
      </c>
      <c r="G20" s="219">
        <v>43.506790000000002</v>
      </c>
      <c r="H20" s="219">
        <v>48.013570000000001</v>
      </c>
      <c r="I20" s="219">
        <v>73.446579999999997</v>
      </c>
      <c r="J20" s="219">
        <v>109.6768</v>
      </c>
      <c r="K20" s="219">
        <v>159.6634</v>
      </c>
      <c r="L20" s="219">
        <v>187.17019999999999</v>
      </c>
      <c r="M20" s="219">
        <v>208.88</v>
      </c>
      <c r="N20" s="219">
        <v>1508.1585100000002</v>
      </c>
    </row>
    <row r="21" spans="1:14" x14ac:dyDescent="0.2">
      <c r="A21" t="s">
        <v>982</v>
      </c>
      <c r="B21" s="219">
        <v>235.3783</v>
      </c>
      <c r="C21" s="219">
        <v>218.024</v>
      </c>
      <c r="D21" s="219">
        <v>215.75620000000001</v>
      </c>
      <c r="E21" s="219">
        <v>180.8399</v>
      </c>
      <c r="F21" s="219">
        <v>168.4143</v>
      </c>
      <c r="G21" s="219">
        <v>153.82320000000001</v>
      </c>
      <c r="H21" s="219">
        <v>161.96449999999999</v>
      </c>
      <c r="I21" s="219">
        <v>177.5164</v>
      </c>
      <c r="J21" s="219">
        <v>193.08090000000001</v>
      </c>
      <c r="K21" s="219">
        <v>246.77809999999999</v>
      </c>
      <c r="L21" s="219">
        <v>263.4117</v>
      </c>
      <c r="M21" s="219">
        <v>290.9502</v>
      </c>
      <c r="N21" s="219">
        <v>2505.9376999999995</v>
      </c>
    </row>
    <row r="22" spans="1:14" x14ac:dyDescent="0.2">
      <c r="A22" t="s">
        <v>1009</v>
      </c>
      <c r="B22" s="219">
        <v>181.6139</v>
      </c>
      <c r="C22" s="219">
        <v>155.35239999999999</v>
      </c>
      <c r="D22" s="219">
        <v>113.3181</v>
      </c>
      <c r="E22" s="219">
        <v>73.300110000000004</v>
      </c>
      <c r="F22" s="219">
        <v>44.811160000000001</v>
      </c>
      <c r="G22" s="219">
        <v>31.180420000000002</v>
      </c>
      <c r="H22" s="219">
        <v>38.180419999999998</v>
      </c>
      <c r="I22" s="219">
        <v>60.888269999999999</v>
      </c>
      <c r="J22" s="219">
        <v>88.760159999999999</v>
      </c>
      <c r="K22" s="219">
        <v>122.94880000000001</v>
      </c>
      <c r="L22" s="219">
        <v>145.66489999999999</v>
      </c>
      <c r="M22" s="219">
        <v>176.76</v>
      </c>
      <c r="N22" s="219">
        <v>1232.7786400000002</v>
      </c>
    </row>
    <row r="23" spans="1:14" x14ac:dyDescent="0.2">
      <c r="A23" t="s">
        <v>1010</v>
      </c>
      <c r="B23" s="219">
        <v>202.1027</v>
      </c>
      <c r="C23" s="219">
        <v>170.09389999999999</v>
      </c>
      <c r="D23" s="219">
        <v>158.2961</v>
      </c>
      <c r="E23" s="219">
        <v>114.4704</v>
      </c>
      <c r="F23" s="219">
        <v>96.753460000000004</v>
      </c>
      <c r="G23" s="219">
        <v>82.871849999999995</v>
      </c>
      <c r="H23" s="219">
        <v>95.504850000000005</v>
      </c>
      <c r="I23" s="219">
        <v>117.88</v>
      </c>
      <c r="J23" s="219">
        <v>143.5882</v>
      </c>
      <c r="K23" s="219">
        <v>179.88409999999999</v>
      </c>
      <c r="L23" s="219">
        <v>187.3014</v>
      </c>
      <c r="M23" s="219">
        <v>211.40960000000001</v>
      </c>
      <c r="N23" s="219">
        <v>1760.1565600000001</v>
      </c>
    </row>
    <row r="24" spans="1:14" x14ac:dyDescent="0.2">
      <c r="A24" t="s">
        <v>1011</v>
      </c>
      <c r="B24" s="219">
        <v>205</v>
      </c>
      <c r="C24" s="219">
        <v>158</v>
      </c>
      <c r="D24" s="219">
        <v>142</v>
      </c>
      <c r="E24" s="219">
        <v>94</v>
      </c>
      <c r="F24" s="219">
        <v>66</v>
      </c>
      <c r="G24" s="219">
        <v>51</v>
      </c>
      <c r="H24" s="219">
        <v>61</v>
      </c>
      <c r="I24" s="219">
        <v>86</v>
      </c>
      <c r="J24" s="219">
        <v>117</v>
      </c>
      <c r="K24" s="219">
        <v>154</v>
      </c>
      <c r="L24" s="219">
        <v>186</v>
      </c>
      <c r="M24" s="219">
        <v>205</v>
      </c>
      <c r="N24" s="219">
        <v>1525</v>
      </c>
    </row>
    <row r="25" spans="1:14" x14ac:dyDescent="0.2">
      <c r="A25" t="s">
        <v>1012</v>
      </c>
      <c r="B25" s="219">
        <v>245</v>
      </c>
      <c r="C25" s="219">
        <v>195</v>
      </c>
      <c r="D25" s="219">
        <v>170</v>
      </c>
      <c r="E25" s="219">
        <v>110</v>
      </c>
      <c r="F25" s="219">
        <v>75</v>
      </c>
      <c r="G25" s="219">
        <v>57</v>
      </c>
      <c r="H25" s="219">
        <v>69</v>
      </c>
      <c r="I25" s="219">
        <v>92</v>
      </c>
      <c r="J25" s="219">
        <v>126</v>
      </c>
      <c r="K25" s="219">
        <v>180</v>
      </c>
      <c r="L25" s="219">
        <v>221</v>
      </c>
      <c r="M25" s="219">
        <v>248</v>
      </c>
      <c r="N25" s="219">
        <v>1788</v>
      </c>
    </row>
    <row r="26" spans="1:14" x14ac:dyDescent="0.2">
      <c r="A26" t="s">
        <v>1013</v>
      </c>
      <c r="B26" s="219">
        <v>248.6986</v>
      </c>
      <c r="C26" s="219">
        <v>207.88939999999999</v>
      </c>
      <c r="D26" s="219">
        <v>173.90110000000001</v>
      </c>
      <c r="E26" s="219">
        <v>124.1571</v>
      </c>
      <c r="F26" s="219">
        <v>93.636799999999994</v>
      </c>
      <c r="G26" s="219">
        <v>68.091899999999995</v>
      </c>
      <c r="H26" s="219">
        <v>83.147450000000006</v>
      </c>
      <c r="I26" s="219">
        <v>103.96420000000001</v>
      </c>
      <c r="J26" s="219">
        <v>138.74250000000001</v>
      </c>
      <c r="K26" s="219">
        <v>186.142</v>
      </c>
      <c r="L26" s="219">
        <v>225.68899999999999</v>
      </c>
      <c r="M26" s="219">
        <v>254.21680000000001</v>
      </c>
      <c r="N26" s="219">
        <v>1908.2768500000002</v>
      </c>
    </row>
    <row r="27" spans="1:14" x14ac:dyDescent="0.2">
      <c r="A27" t="s">
        <v>1014</v>
      </c>
      <c r="B27" s="219">
        <v>226.7672</v>
      </c>
      <c r="C27" s="219">
        <v>195.97550000000001</v>
      </c>
      <c r="D27" s="219">
        <v>206.24189999999999</v>
      </c>
      <c r="E27" s="219">
        <v>181.17959999999999</v>
      </c>
      <c r="F27" s="219">
        <v>167.9821</v>
      </c>
      <c r="G27" s="219">
        <v>149.72989999999999</v>
      </c>
      <c r="H27" s="219">
        <v>161.5342</v>
      </c>
      <c r="I27" s="219">
        <v>178.4845</v>
      </c>
      <c r="J27" s="219">
        <v>199.458</v>
      </c>
      <c r="K27" s="219">
        <v>240.0625</v>
      </c>
      <c r="L27" s="219">
        <v>248.89510000000001</v>
      </c>
      <c r="M27" s="219">
        <v>244.53809999999999</v>
      </c>
      <c r="N27" s="219">
        <v>2400.8486000000003</v>
      </c>
    </row>
    <row r="28" spans="1:14" x14ac:dyDescent="0.2">
      <c r="A28" t="s">
        <v>1015</v>
      </c>
      <c r="B28" s="219">
        <v>229.49029999999999</v>
      </c>
      <c r="C28" s="219">
        <v>197.5368</v>
      </c>
      <c r="D28" s="219">
        <v>208.3339</v>
      </c>
      <c r="E28" s="219">
        <v>184.126</v>
      </c>
      <c r="F28" s="219">
        <v>169.9033</v>
      </c>
      <c r="G28" s="219">
        <v>151.66399999999999</v>
      </c>
      <c r="H28" s="219">
        <v>163.3494</v>
      </c>
      <c r="I28" s="219">
        <v>181.41419999999999</v>
      </c>
      <c r="J28" s="219">
        <v>200.17760000000001</v>
      </c>
      <c r="K28" s="219">
        <v>242.70689999999999</v>
      </c>
      <c r="L28" s="219">
        <v>250.67609999999999</v>
      </c>
      <c r="M28" s="219">
        <v>255.5642</v>
      </c>
      <c r="N28" s="219">
        <v>2434.9426999999996</v>
      </c>
    </row>
    <row r="29" spans="1:14" x14ac:dyDescent="0.2">
      <c r="A29" t="s">
        <v>1016</v>
      </c>
      <c r="B29" s="219">
        <v>210.06649999999999</v>
      </c>
      <c r="C29" s="219">
        <v>172.16659999999999</v>
      </c>
      <c r="D29" s="219">
        <v>153.62739999999999</v>
      </c>
      <c r="E29" s="219">
        <v>109.05459999999999</v>
      </c>
      <c r="F29" s="219">
        <v>81.424940000000007</v>
      </c>
      <c r="G29" s="219">
        <v>66.991380000000007</v>
      </c>
      <c r="H29" s="219">
        <v>76.448549999999997</v>
      </c>
      <c r="I29" s="219">
        <v>96.564390000000003</v>
      </c>
      <c r="J29" s="219">
        <v>125.56780000000001</v>
      </c>
      <c r="K29" s="219">
        <v>171.3715</v>
      </c>
      <c r="L29" s="219">
        <v>197.19130000000001</v>
      </c>
      <c r="M29" s="219">
        <v>219.51150000000001</v>
      </c>
      <c r="N29" s="219">
        <v>1679.9864599999999</v>
      </c>
    </row>
    <row r="30" spans="1:14" x14ac:dyDescent="0.2">
      <c r="A30" t="s">
        <v>1017</v>
      </c>
      <c r="B30" s="219">
        <v>205.29949999999999</v>
      </c>
      <c r="C30" s="219">
        <v>159.00489999999999</v>
      </c>
      <c r="D30" s="219">
        <v>139.03389999999999</v>
      </c>
      <c r="E30" s="219">
        <v>90.252099999999999</v>
      </c>
      <c r="F30" s="219">
        <v>53.870139999999999</v>
      </c>
      <c r="G30" s="219">
        <v>41.551169999999999</v>
      </c>
      <c r="H30" s="219">
        <v>46.183199999999999</v>
      </c>
      <c r="I30" s="219">
        <v>70.686940000000007</v>
      </c>
      <c r="J30" s="219">
        <v>103.9725</v>
      </c>
      <c r="K30" s="219">
        <v>150.37549999999999</v>
      </c>
      <c r="L30" s="219">
        <v>175.51769999999999</v>
      </c>
      <c r="M30" s="219">
        <v>199.47620000000001</v>
      </c>
      <c r="N30" s="219">
        <v>1435.2237500000001</v>
      </c>
    </row>
    <row r="31" spans="1:14" x14ac:dyDescent="0.2">
      <c r="A31" t="s">
        <v>1018</v>
      </c>
      <c r="B31" s="219">
        <v>194.89089999999999</v>
      </c>
      <c r="C31" s="219">
        <v>164.7362</v>
      </c>
      <c r="D31" s="219">
        <v>140.07470000000001</v>
      </c>
      <c r="E31" s="219">
        <v>87.987620000000007</v>
      </c>
      <c r="F31" s="219">
        <v>55.388089999999998</v>
      </c>
      <c r="G31" s="219">
        <v>40.48516</v>
      </c>
      <c r="H31" s="219">
        <v>46.818429999999999</v>
      </c>
      <c r="I31" s="219">
        <v>70.219080000000005</v>
      </c>
      <c r="J31" s="219">
        <v>100.4877</v>
      </c>
      <c r="K31" s="219">
        <v>138.5899</v>
      </c>
      <c r="L31" s="219">
        <v>162.13730000000001</v>
      </c>
      <c r="M31" s="219">
        <v>185.9212</v>
      </c>
      <c r="N31" s="219">
        <v>1387.7362800000001</v>
      </c>
    </row>
    <row r="32" spans="1:14" x14ac:dyDescent="0.2">
      <c r="A32" t="s">
        <v>1019</v>
      </c>
      <c r="B32" s="219">
        <v>194.07429999999999</v>
      </c>
      <c r="C32" s="219">
        <v>150.06809999999999</v>
      </c>
      <c r="D32" s="219">
        <v>133.0557</v>
      </c>
      <c r="E32" s="219">
        <v>88.030950000000004</v>
      </c>
      <c r="F32" s="219">
        <v>61.024760000000001</v>
      </c>
      <c r="G32" s="219">
        <v>48.018569999999997</v>
      </c>
      <c r="H32" s="219">
        <v>57.018569999999997</v>
      </c>
      <c r="I32" s="219">
        <v>80.030950000000004</v>
      </c>
      <c r="J32" s="219">
        <v>109.0371</v>
      </c>
      <c r="K32" s="219">
        <v>147.04329999999999</v>
      </c>
      <c r="L32" s="219">
        <v>176.06190000000001</v>
      </c>
      <c r="M32" s="219">
        <v>195.07429999999999</v>
      </c>
      <c r="N32" s="219">
        <v>1438.5384999999997</v>
      </c>
    </row>
    <row r="33" spans="1:14" x14ac:dyDescent="0.2">
      <c r="A33" t="s">
        <v>1020</v>
      </c>
      <c r="B33" s="219">
        <v>200.38120000000001</v>
      </c>
      <c r="C33" s="219">
        <v>156.6568</v>
      </c>
      <c r="D33" s="219">
        <v>138.18340000000001</v>
      </c>
      <c r="E33" s="219">
        <v>91.524439999999998</v>
      </c>
      <c r="F33" s="219">
        <v>63.183219999999999</v>
      </c>
      <c r="G33" s="219">
        <v>49.401780000000002</v>
      </c>
      <c r="H33" s="219">
        <v>58.93235</v>
      </c>
      <c r="I33" s="219">
        <v>81.552869999999999</v>
      </c>
      <c r="J33" s="219">
        <v>110.2148</v>
      </c>
      <c r="K33" s="219">
        <v>150.70249999999999</v>
      </c>
      <c r="L33" s="219">
        <v>181.28530000000001</v>
      </c>
      <c r="M33" s="219">
        <v>201.73070000000001</v>
      </c>
      <c r="N33" s="219">
        <v>1483.7493600000003</v>
      </c>
    </row>
    <row r="34" spans="1:14" x14ac:dyDescent="0.2">
      <c r="A34" t="s">
        <v>1021</v>
      </c>
      <c r="B34" s="219">
        <v>168.26140000000001</v>
      </c>
      <c r="C34" s="219">
        <v>145.4041</v>
      </c>
      <c r="D34" s="219">
        <v>106.5532</v>
      </c>
      <c r="E34" s="219">
        <v>67.844949999999997</v>
      </c>
      <c r="F34" s="219">
        <v>42.422469999999997</v>
      </c>
      <c r="G34" s="219">
        <v>29.422470000000001</v>
      </c>
      <c r="H34" s="219">
        <v>35.422469999999997</v>
      </c>
      <c r="I34" s="219">
        <v>55.981670000000001</v>
      </c>
      <c r="J34" s="219">
        <v>83.981669999999994</v>
      </c>
      <c r="K34" s="219">
        <v>118.4165</v>
      </c>
      <c r="L34" s="219">
        <v>143.54089999999999</v>
      </c>
      <c r="M34" s="219">
        <v>166.1001</v>
      </c>
      <c r="N34" s="219">
        <v>1163.3519000000001</v>
      </c>
    </row>
    <row r="35" spans="1:14" x14ac:dyDescent="0.2">
      <c r="A35" t="s">
        <v>1022</v>
      </c>
      <c r="B35" s="219">
        <v>245.99440000000001</v>
      </c>
      <c r="C35" s="219">
        <v>196.3014</v>
      </c>
      <c r="D35" s="219">
        <v>171.21729999999999</v>
      </c>
      <c r="E35" s="219">
        <v>115.1786</v>
      </c>
      <c r="F35" s="219">
        <v>82.364069999999998</v>
      </c>
      <c r="G35" s="219">
        <v>62.970570000000002</v>
      </c>
      <c r="H35" s="219">
        <v>75.580129999999997</v>
      </c>
      <c r="I35" s="219">
        <v>100.4297</v>
      </c>
      <c r="J35" s="219">
        <v>134.99510000000001</v>
      </c>
      <c r="K35" s="219">
        <v>185.23509999999999</v>
      </c>
      <c r="L35" s="219">
        <v>223.53649999999999</v>
      </c>
      <c r="M35" s="219">
        <v>250.30449999999999</v>
      </c>
      <c r="N35" s="219">
        <v>1844.1073699999997</v>
      </c>
    </row>
    <row r="36" spans="1:14" x14ac:dyDescent="0.2">
      <c r="A36" t="s">
        <v>1023</v>
      </c>
      <c r="B36" s="219">
        <v>222.3391</v>
      </c>
      <c r="C36" s="219">
        <v>175.04830000000001</v>
      </c>
      <c r="D36" s="219">
        <v>151.5909</v>
      </c>
      <c r="E36" s="219">
        <v>98.333789999999993</v>
      </c>
      <c r="F36" s="219">
        <v>58.904170000000001</v>
      </c>
      <c r="G36" s="219">
        <v>44.423699999999997</v>
      </c>
      <c r="H36" s="219">
        <v>51.99803</v>
      </c>
      <c r="I36" s="219">
        <v>76.917379999999994</v>
      </c>
      <c r="J36" s="219">
        <v>113.345</v>
      </c>
      <c r="K36" s="219">
        <v>162.51560000000001</v>
      </c>
      <c r="L36" s="219">
        <v>195.32980000000001</v>
      </c>
      <c r="M36" s="219">
        <v>215.90020000000001</v>
      </c>
      <c r="N36" s="219">
        <v>1566.64597</v>
      </c>
    </row>
    <row r="37" spans="1:14" x14ac:dyDescent="0.2">
      <c r="A37" t="s">
        <v>1024</v>
      </c>
      <c r="B37" s="219">
        <v>245</v>
      </c>
      <c r="C37" s="219">
        <v>195</v>
      </c>
      <c r="D37" s="219">
        <v>170</v>
      </c>
      <c r="E37" s="219">
        <v>110</v>
      </c>
      <c r="F37" s="219">
        <v>75</v>
      </c>
      <c r="G37" s="219">
        <v>57</v>
      </c>
      <c r="H37" s="219">
        <v>69</v>
      </c>
      <c r="I37" s="219">
        <v>92</v>
      </c>
      <c r="J37" s="219">
        <v>126</v>
      </c>
      <c r="K37" s="219">
        <v>180</v>
      </c>
      <c r="L37" s="219">
        <v>221</v>
      </c>
      <c r="M37" s="219">
        <v>248</v>
      </c>
      <c r="N37" s="219">
        <v>1788</v>
      </c>
    </row>
    <row r="38" spans="1:14" x14ac:dyDescent="0.2">
      <c r="A38" t="s">
        <v>1025</v>
      </c>
      <c r="B38" s="219">
        <v>245</v>
      </c>
      <c r="C38" s="219">
        <v>195</v>
      </c>
      <c r="D38" s="219">
        <v>170</v>
      </c>
      <c r="E38" s="219">
        <v>110</v>
      </c>
      <c r="F38" s="219">
        <v>75</v>
      </c>
      <c r="G38" s="219">
        <v>57</v>
      </c>
      <c r="H38" s="219">
        <v>69</v>
      </c>
      <c r="I38" s="219">
        <v>92</v>
      </c>
      <c r="J38" s="219">
        <v>126</v>
      </c>
      <c r="K38" s="219">
        <v>180</v>
      </c>
      <c r="L38" s="219">
        <v>221</v>
      </c>
      <c r="M38" s="219">
        <v>248</v>
      </c>
      <c r="N38" s="219">
        <v>1788</v>
      </c>
    </row>
    <row r="39" spans="1:14" x14ac:dyDescent="0.2">
      <c r="A39" t="s">
        <v>1026</v>
      </c>
      <c r="B39" s="219">
        <v>170.64150000000001</v>
      </c>
      <c r="C39" s="219">
        <v>144.80459999999999</v>
      </c>
      <c r="D39" s="219">
        <v>111.1236</v>
      </c>
      <c r="E39" s="219">
        <v>66.789140000000003</v>
      </c>
      <c r="F39" s="219">
        <v>41.031109999999998</v>
      </c>
      <c r="G39" s="219">
        <v>30.625260000000001</v>
      </c>
      <c r="H39" s="219">
        <v>33.260629999999999</v>
      </c>
      <c r="I39" s="219">
        <v>55.6036</v>
      </c>
      <c r="J39" s="219">
        <v>87.303240000000002</v>
      </c>
      <c r="K39" s="219">
        <v>126.3263</v>
      </c>
      <c r="L39" s="219">
        <v>154.12710000000001</v>
      </c>
      <c r="M39" s="219">
        <v>166.29079999999999</v>
      </c>
      <c r="N39" s="219">
        <v>1187.92688</v>
      </c>
    </row>
    <row r="40" spans="1:14" x14ac:dyDescent="0.2">
      <c r="A40" t="s">
        <v>1027</v>
      </c>
      <c r="B40" s="219">
        <v>220.18860000000001</v>
      </c>
      <c r="C40" s="219">
        <v>172.2877</v>
      </c>
      <c r="D40" s="219">
        <v>149.6438</v>
      </c>
      <c r="E40" s="219">
        <v>98.634649999999993</v>
      </c>
      <c r="F40" s="219">
        <v>59.996940000000002</v>
      </c>
      <c r="G40" s="219">
        <v>44.362290000000002</v>
      </c>
      <c r="H40" s="219">
        <v>52.72457</v>
      </c>
      <c r="I40" s="219">
        <v>77</v>
      </c>
      <c r="J40" s="219">
        <v>112.6377</v>
      </c>
      <c r="K40" s="219">
        <v>161.27539999999999</v>
      </c>
      <c r="L40" s="219">
        <v>193.6438</v>
      </c>
      <c r="M40" s="219">
        <v>214.6438</v>
      </c>
      <c r="N40" s="219">
        <v>1557.0392500000003</v>
      </c>
    </row>
    <row r="41" spans="1:14" x14ac:dyDescent="0.2">
      <c r="A41" t="s">
        <v>1028</v>
      </c>
      <c r="B41" s="219">
        <v>233.1069</v>
      </c>
      <c r="C41" s="219">
        <v>196.18700000000001</v>
      </c>
      <c r="D41" s="219">
        <v>181.51570000000001</v>
      </c>
      <c r="E41" s="219">
        <v>133.89340000000001</v>
      </c>
      <c r="F41" s="219">
        <v>116.32559999999999</v>
      </c>
      <c r="G41" s="219">
        <v>100.8693</v>
      </c>
      <c r="H41" s="219">
        <v>113.7931</v>
      </c>
      <c r="I41" s="219">
        <v>137.3073</v>
      </c>
      <c r="J41" s="219">
        <v>165.2165</v>
      </c>
      <c r="K41" s="219">
        <v>208.84190000000001</v>
      </c>
      <c r="L41" s="219">
        <v>219.9829</v>
      </c>
      <c r="M41" s="219">
        <v>248.12819999999999</v>
      </c>
      <c r="N41" s="219">
        <v>2055.1678000000002</v>
      </c>
    </row>
    <row r="42" spans="1:14" x14ac:dyDescent="0.2">
      <c r="A42" t="s">
        <v>1029</v>
      </c>
      <c r="B42" s="219">
        <v>218.57839999999999</v>
      </c>
      <c r="C42" s="219">
        <v>177.57069999999999</v>
      </c>
      <c r="D42" s="219">
        <v>151.99619999999999</v>
      </c>
      <c r="E42" s="219">
        <v>96.003839999999997</v>
      </c>
      <c r="F42" s="219">
        <v>58.011510000000001</v>
      </c>
      <c r="G42" s="219">
        <v>39.187420000000003</v>
      </c>
      <c r="H42" s="219">
        <v>52.597540000000002</v>
      </c>
      <c r="I42" s="219">
        <v>75.011510000000001</v>
      </c>
      <c r="J42" s="219">
        <v>109.5899</v>
      </c>
      <c r="K42" s="219">
        <v>153.5899</v>
      </c>
      <c r="L42" s="219">
        <v>191.58600000000001</v>
      </c>
      <c r="M42" s="219">
        <v>213.5899</v>
      </c>
      <c r="N42" s="219">
        <v>1537.3128199999999</v>
      </c>
    </row>
    <row r="43" spans="1:14" x14ac:dyDescent="0.2">
      <c r="A43" t="s">
        <v>1030</v>
      </c>
      <c r="B43" s="219">
        <v>218.14009999999999</v>
      </c>
      <c r="C43" s="219">
        <v>164.91210000000001</v>
      </c>
      <c r="D43" s="219">
        <v>146.29810000000001</v>
      </c>
      <c r="E43" s="219">
        <v>96.456050000000005</v>
      </c>
      <c r="F43" s="219">
        <v>55.842030000000001</v>
      </c>
      <c r="G43" s="219">
        <v>44.228020000000001</v>
      </c>
      <c r="H43" s="219">
        <v>48.842030000000001</v>
      </c>
      <c r="I43" s="219">
        <v>75.456050000000005</v>
      </c>
      <c r="J43" s="219">
        <v>111.0701</v>
      </c>
      <c r="K43" s="219">
        <v>161.91210000000001</v>
      </c>
      <c r="L43" s="219">
        <v>188.91210000000001</v>
      </c>
      <c r="M43" s="219">
        <v>211.75409999999999</v>
      </c>
      <c r="N43" s="219">
        <v>1523.8228800000002</v>
      </c>
    </row>
    <row r="44" spans="1:14" x14ac:dyDescent="0.2">
      <c r="A44" t="s">
        <v>1031</v>
      </c>
      <c r="B44" s="219">
        <v>193.17910000000001</v>
      </c>
      <c r="C44" s="219">
        <v>148.5566</v>
      </c>
      <c r="D44" s="219">
        <v>120.68810000000001</v>
      </c>
      <c r="E44" s="219">
        <v>68.591319999999996</v>
      </c>
      <c r="F44" s="219">
        <v>39.540610000000001</v>
      </c>
      <c r="G44" s="219">
        <v>29.455719999999999</v>
      </c>
      <c r="H44" s="219">
        <v>35.17015</v>
      </c>
      <c r="I44" s="219">
        <v>57.765709999999999</v>
      </c>
      <c r="J44" s="219">
        <v>95.717740000000006</v>
      </c>
      <c r="K44" s="219">
        <v>140.83600000000001</v>
      </c>
      <c r="L44" s="219">
        <v>168.7413</v>
      </c>
      <c r="M44" s="219">
        <v>186.09540000000001</v>
      </c>
      <c r="N44" s="219">
        <v>1284.3377500000001</v>
      </c>
    </row>
    <row r="45" spans="1:14" x14ac:dyDescent="0.2">
      <c r="A45" t="s">
        <v>1032</v>
      </c>
      <c r="B45" s="219">
        <v>219.0899</v>
      </c>
      <c r="C45" s="219">
        <v>169.22819999999999</v>
      </c>
      <c r="D45" s="219">
        <v>147.94130000000001</v>
      </c>
      <c r="E45" s="219">
        <v>97.063860000000005</v>
      </c>
      <c r="F45" s="219">
        <v>57.026069999999997</v>
      </c>
      <c r="G45" s="219">
        <v>44.110840000000003</v>
      </c>
      <c r="H45" s="219">
        <v>49.830800000000004</v>
      </c>
      <c r="I45" s="219">
        <v>75.090289999999996</v>
      </c>
      <c r="J45" s="219">
        <v>111.86709999999999</v>
      </c>
      <c r="K45" s="219">
        <v>161.0231</v>
      </c>
      <c r="L45" s="219">
        <v>189.91650000000001</v>
      </c>
      <c r="M45" s="219">
        <v>211.76179999999999</v>
      </c>
      <c r="N45" s="219">
        <v>1533.94976</v>
      </c>
    </row>
    <row r="46" spans="1:14" x14ac:dyDescent="0.2">
      <c r="A46" t="s">
        <v>1033</v>
      </c>
      <c r="B46" s="219">
        <v>217.8657</v>
      </c>
      <c r="C46" s="219">
        <v>167.19470000000001</v>
      </c>
      <c r="D46" s="219">
        <v>146.8271</v>
      </c>
      <c r="E46" s="219">
        <v>96.444670000000002</v>
      </c>
      <c r="F46" s="219">
        <v>56.42098</v>
      </c>
      <c r="G46" s="219">
        <v>44.014859999999999</v>
      </c>
      <c r="H46" s="219">
        <v>49.382429999999999</v>
      </c>
      <c r="I46" s="219">
        <v>74.435839999999999</v>
      </c>
      <c r="J46" s="219">
        <v>111.4447</v>
      </c>
      <c r="K46" s="219">
        <v>160.49809999999999</v>
      </c>
      <c r="L46" s="219">
        <v>188.8657</v>
      </c>
      <c r="M46" s="219">
        <v>210.27180000000001</v>
      </c>
      <c r="N46" s="219">
        <v>1523.6665800000001</v>
      </c>
    </row>
    <row r="47" spans="1:14" x14ac:dyDescent="0.2">
      <c r="A47" t="s">
        <v>1034</v>
      </c>
      <c r="B47" s="219">
        <v>227.03579999999999</v>
      </c>
      <c r="C47" s="219">
        <v>182.52969999999999</v>
      </c>
      <c r="D47" s="219">
        <v>157.0436</v>
      </c>
      <c r="E47" s="219">
        <v>100.6306</v>
      </c>
      <c r="F47" s="219">
        <v>63.907600000000002</v>
      </c>
      <c r="G47" s="219">
        <v>44.13306</v>
      </c>
      <c r="H47" s="219">
        <v>57.468089999999997</v>
      </c>
      <c r="I47" s="219">
        <v>79.829599999999999</v>
      </c>
      <c r="J47" s="219">
        <v>113.8031</v>
      </c>
      <c r="K47" s="219">
        <v>159.56620000000001</v>
      </c>
      <c r="L47" s="219">
        <v>198.54470000000001</v>
      </c>
      <c r="M47" s="219">
        <v>221.1832</v>
      </c>
      <c r="N47" s="219">
        <v>1605.6752499999998</v>
      </c>
    </row>
    <row r="48" spans="1:14" x14ac:dyDescent="0.2">
      <c r="A48" t="s">
        <v>1035</v>
      </c>
      <c r="B48" s="219">
        <v>199.66560000000001</v>
      </c>
      <c r="C48" s="219">
        <v>167.44479999999999</v>
      </c>
      <c r="D48" s="219">
        <v>140.09719999999999</v>
      </c>
      <c r="E48" s="219">
        <v>87.85051</v>
      </c>
      <c r="F48" s="219">
        <v>54.899120000000003</v>
      </c>
      <c r="G48" s="219">
        <v>40.876649999999998</v>
      </c>
      <c r="H48" s="219">
        <v>46.85051</v>
      </c>
      <c r="I48" s="219">
        <v>70.678560000000004</v>
      </c>
      <c r="J48" s="219">
        <v>101.2824</v>
      </c>
      <c r="K48" s="219">
        <v>143.12</v>
      </c>
      <c r="L48" s="219">
        <v>167.9742</v>
      </c>
      <c r="M48" s="219">
        <v>191.58170000000001</v>
      </c>
      <c r="N48" s="219">
        <v>1412.3212500000002</v>
      </c>
    </row>
    <row r="49" spans="1:14" x14ac:dyDescent="0.2">
      <c r="A49" t="s">
        <v>1036</v>
      </c>
      <c r="B49" s="219">
        <v>167.804</v>
      </c>
      <c r="C49" s="219">
        <v>145.88550000000001</v>
      </c>
      <c r="D49" s="219">
        <v>106.5429</v>
      </c>
      <c r="E49" s="219">
        <v>67.65307</v>
      </c>
      <c r="F49" s="219">
        <v>42.139850000000003</v>
      </c>
      <c r="G49" s="219">
        <v>29.528449999999999</v>
      </c>
      <c r="H49" s="219">
        <v>34.960889999999999</v>
      </c>
      <c r="I49" s="219">
        <v>56.761069999999997</v>
      </c>
      <c r="J49" s="219">
        <v>84.193299999999994</v>
      </c>
      <c r="K49" s="219">
        <v>118.7796</v>
      </c>
      <c r="L49" s="219">
        <v>144.60470000000001</v>
      </c>
      <c r="M49" s="219">
        <v>166.55369999999999</v>
      </c>
      <c r="N49" s="219">
        <v>1165.4070299999998</v>
      </c>
    </row>
    <row r="50" spans="1:14" x14ac:dyDescent="0.2">
      <c r="A50" t="s">
        <v>1037</v>
      </c>
      <c r="B50" s="219">
        <v>167.31530000000001</v>
      </c>
      <c r="C50" s="219">
        <v>140.85239999999999</v>
      </c>
      <c r="D50" s="219">
        <v>108.1005</v>
      </c>
      <c r="E50" s="219">
        <v>63.700360000000003</v>
      </c>
      <c r="F50" s="219">
        <v>38.21481</v>
      </c>
      <c r="G50" s="219">
        <v>28.914480000000001</v>
      </c>
      <c r="H50" s="219">
        <v>32.491109999999999</v>
      </c>
      <c r="I50" s="219">
        <v>55.232039999999998</v>
      </c>
      <c r="J50" s="219">
        <v>88.695329999999998</v>
      </c>
      <c r="K50" s="219">
        <v>128.9332</v>
      </c>
      <c r="L50" s="219">
        <v>153.32060000000001</v>
      </c>
      <c r="M50" s="219">
        <v>168.8758</v>
      </c>
      <c r="N50" s="219">
        <v>1174.6459300000001</v>
      </c>
    </row>
    <row r="51" spans="1:14" x14ac:dyDescent="0.2">
      <c r="A51" t="s">
        <v>1038</v>
      </c>
      <c r="B51" s="219">
        <v>222.19980000000001</v>
      </c>
      <c r="C51" s="219">
        <v>169.83090000000001</v>
      </c>
      <c r="D51" s="219">
        <v>150.45820000000001</v>
      </c>
      <c r="E51" s="219">
        <v>98.913560000000004</v>
      </c>
      <c r="F51" s="219">
        <v>58.913559999999997</v>
      </c>
      <c r="G51" s="219">
        <v>45.741619999999998</v>
      </c>
      <c r="H51" s="219">
        <v>51.913559999999997</v>
      </c>
      <c r="I51" s="219">
        <v>77.913560000000004</v>
      </c>
      <c r="J51" s="219">
        <v>114.1143</v>
      </c>
      <c r="K51" s="219">
        <v>164.85589999999999</v>
      </c>
      <c r="L51" s="219">
        <v>192.83090000000001</v>
      </c>
      <c r="M51" s="219">
        <v>214.45820000000001</v>
      </c>
      <c r="N51" s="219">
        <v>1562.1440599999999</v>
      </c>
    </row>
    <row r="52" spans="1:14" x14ac:dyDescent="0.2">
      <c r="A52" t="s">
        <v>1039</v>
      </c>
      <c r="B52" s="219">
        <v>187.8998</v>
      </c>
      <c r="C52" s="219">
        <v>156.2175</v>
      </c>
      <c r="D52" s="219">
        <v>125.07470000000001</v>
      </c>
      <c r="E52" s="219">
        <v>79.322739999999996</v>
      </c>
      <c r="F52" s="219">
        <v>48.556220000000003</v>
      </c>
      <c r="G52" s="219">
        <v>39.088509999999999</v>
      </c>
      <c r="H52" s="219">
        <v>41.39049</v>
      </c>
      <c r="I52" s="219">
        <v>61.538069999999998</v>
      </c>
      <c r="J52" s="219">
        <v>86.090220000000002</v>
      </c>
      <c r="K52" s="219">
        <v>133.19800000000001</v>
      </c>
      <c r="L52" s="219">
        <v>165.93610000000001</v>
      </c>
      <c r="M52" s="219">
        <v>187.81039999999999</v>
      </c>
      <c r="N52" s="219">
        <v>1312.1227500000002</v>
      </c>
    </row>
    <row r="53" spans="1:14" x14ac:dyDescent="0.2">
      <c r="A53" t="s">
        <v>1040</v>
      </c>
      <c r="B53" s="219">
        <v>174.46170000000001</v>
      </c>
      <c r="C53" s="219">
        <v>137.37819999999999</v>
      </c>
      <c r="D53" s="219">
        <v>114.4692</v>
      </c>
      <c r="E53" s="219">
        <v>64.237660000000005</v>
      </c>
      <c r="F53" s="219">
        <v>38.014409999999998</v>
      </c>
      <c r="G53" s="219">
        <v>27.23104</v>
      </c>
      <c r="H53" s="219">
        <v>33.426279999999998</v>
      </c>
      <c r="I53" s="219">
        <v>54.402259999999998</v>
      </c>
      <c r="J53" s="219">
        <v>91.699920000000006</v>
      </c>
      <c r="K53" s="219">
        <v>133.20079999999999</v>
      </c>
      <c r="L53" s="219">
        <v>154.96129999999999</v>
      </c>
      <c r="M53" s="219">
        <v>169.0727</v>
      </c>
      <c r="N53" s="219">
        <v>1192.5554699999998</v>
      </c>
    </row>
    <row r="54" spans="1:14" x14ac:dyDescent="0.2">
      <c r="A54" t="s">
        <v>1041</v>
      </c>
      <c r="B54" s="219">
        <v>240.97900000000001</v>
      </c>
      <c r="C54" s="219">
        <v>195.99809999999999</v>
      </c>
      <c r="D54" s="219">
        <v>166.07230000000001</v>
      </c>
      <c r="E54" s="219">
        <v>111.1382</v>
      </c>
      <c r="F54" s="219">
        <v>77.169839999999994</v>
      </c>
      <c r="G54" s="219">
        <v>56.530650000000001</v>
      </c>
      <c r="H54" s="219">
        <v>69.524860000000004</v>
      </c>
      <c r="I54" s="219">
        <v>92.454470000000001</v>
      </c>
      <c r="J54" s="219">
        <v>126.28319999999999</v>
      </c>
      <c r="K54" s="219">
        <v>177.23</v>
      </c>
      <c r="L54" s="219">
        <v>214.91759999999999</v>
      </c>
      <c r="M54" s="219">
        <v>240.67310000000001</v>
      </c>
      <c r="N54" s="219">
        <v>1768.9713200000001</v>
      </c>
    </row>
    <row r="55" spans="1:14" x14ac:dyDescent="0.2">
      <c r="A55" t="s">
        <v>1042</v>
      </c>
      <c r="B55" s="219">
        <v>215.5087</v>
      </c>
      <c r="C55" s="219">
        <v>163.5087</v>
      </c>
      <c r="D55" s="219">
        <v>145.3391</v>
      </c>
      <c r="E55" s="219">
        <v>96.169550000000001</v>
      </c>
      <c r="F55" s="219">
        <v>56.169550000000001</v>
      </c>
      <c r="G55" s="219">
        <v>44.084780000000002</v>
      </c>
      <c r="H55" s="219">
        <v>49.084780000000002</v>
      </c>
      <c r="I55" s="219">
        <v>75.169550000000001</v>
      </c>
      <c r="J55" s="219">
        <v>111.1696</v>
      </c>
      <c r="K55" s="219">
        <v>160.3391</v>
      </c>
      <c r="L55" s="219">
        <v>186.5087</v>
      </c>
      <c r="M55" s="219">
        <v>209.4239</v>
      </c>
      <c r="N55" s="219">
        <v>1512.4760099999999</v>
      </c>
    </row>
    <row r="56" spans="1:14" x14ac:dyDescent="0.2">
      <c r="A56" t="s">
        <v>1043</v>
      </c>
      <c r="B56" s="219">
        <v>230.28219999999999</v>
      </c>
      <c r="C56" s="219">
        <v>189.22540000000001</v>
      </c>
      <c r="D56" s="219">
        <v>157.70920000000001</v>
      </c>
      <c r="E56" s="219">
        <v>101.8385</v>
      </c>
      <c r="F56" s="219">
        <v>64.143060000000006</v>
      </c>
      <c r="G56" s="219">
        <v>46.50873</v>
      </c>
      <c r="H56" s="219">
        <v>52.151530000000001</v>
      </c>
      <c r="I56" s="219">
        <v>74.536569999999998</v>
      </c>
      <c r="J56" s="219">
        <v>107.6465</v>
      </c>
      <c r="K56" s="219">
        <v>158.9468</v>
      </c>
      <c r="L56" s="219">
        <v>191.80029999999999</v>
      </c>
      <c r="M56" s="219">
        <v>219.38290000000001</v>
      </c>
      <c r="N56" s="219">
        <v>1594.1716900000001</v>
      </c>
    </row>
    <row r="57" spans="1:14" x14ac:dyDescent="0.2">
      <c r="A57" t="s">
        <v>1044</v>
      </c>
      <c r="B57" s="219">
        <v>218.59569999999999</v>
      </c>
      <c r="C57" s="219">
        <v>173.8766</v>
      </c>
      <c r="D57" s="219">
        <v>150.8766</v>
      </c>
      <c r="E57" s="219">
        <v>98.876570000000001</v>
      </c>
      <c r="F57" s="219">
        <v>65.876570000000001</v>
      </c>
      <c r="G57" s="219">
        <v>48.438290000000002</v>
      </c>
      <c r="H57" s="219">
        <v>60.438290000000002</v>
      </c>
      <c r="I57" s="219">
        <v>82.157430000000005</v>
      </c>
      <c r="J57" s="219">
        <v>113.8766</v>
      </c>
      <c r="K57" s="219">
        <v>159.59569999999999</v>
      </c>
      <c r="L57" s="219">
        <v>196.31489999999999</v>
      </c>
      <c r="M57" s="219">
        <v>219.03399999999999</v>
      </c>
      <c r="N57" s="219">
        <v>1587.9572500000004</v>
      </c>
    </row>
    <row r="58" spans="1:14" x14ac:dyDescent="0.2">
      <c r="A58" t="s">
        <v>1045</v>
      </c>
      <c r="B58" s="219">
        <v>233.4803</v>
      </c>
      <c r="C58" s="219">
        <v>197.42840000000001</v>
      </c>
      <c r="D58" s="219">
        <v>162.9306</v>
      </c>
      <c r="E58" s="219">
        <v>107.0774</v>
      </c>
      <c r="F58" s="219">
        <v>71.145899999999997</v>
      </c>
      <c r="G58" s="219">
        <v>46.191929999999999</v>
      </c>
      <c r="H58" s="219">
        <v>55.353400000000001</v>
      </c>
      <c r="I58" s="219">
        <v>75.839259999999996</v>
      </c>
      <c r="J58" s="219">
        <v>106.0043</v>
      </c>
      <c r="K58" s="219">
        <v>152.2535</v>
      </c>
      <c r="L58" s="219">
        <v>188.50200000000001</v>
      </c>
      <c r="M58" s="219">
        <v>224.5557</v>
      </c>
      <c r="N58" s="219">
        <v>1620.76269</v>
      </c>
    </row>
    <row r="59" spans="1:14" x14ac:dyDescent="0.2">
      <c r="A59" t="s">
        <v>1046</v>
      </c>
      <c r="B59" s="219">
        <v>208.83539999999999</v>
      </c>
      <c r="C59" s="219">
        <v>183.1172</v>
      </c>
      <c r="D59" s="219">
        <v>183.48390000000001</v>
      </c>
      <c r="E59" s="219">
        <v>175.6918</v>
      </c>
      <c r="F59" s="219">
        <v>174.93940000000001</v>
      </c>
      <c r="G59" s="219">
        <v>148.14609999999999</v>
      </c>
      <c r="H59" s="219">
        <v>162.8819</v>
      </c>
      <c r="I59" s="219">
        <v>180.61529999999999</v>
      </c>
      <c r="J59" s="219">
        <v>203.44550000000001</v>
      </c>
      <c r="K59" s="219">
        <v>243.6523</v>
      </c>
      <c r="L59" s="219">
        <v>271.73320000000001</v>
      </c>
      <c r="M59" s="219">
        <v>238.53380000000001</v>
      </c>
      <c r="N59" s="219">
        <v>2375.0758000000001</v>
      </c>
    </row>
    <row r="60" spans="1:14" x14ac:dyDescent="0.2">
      <c r="A60" t="s">
        <v>1047</v>
      </c>
      <c r="B60" s="219">
        <v>247.31219999999999</v>
      </c>
      <c r="C60" s="219">
        <v>201.6977</v>
      </c>
      <c r="D60" s="219">
        <v>172.4958</v>
      </c>
      <c r="E60" s="219">
        <v>116.0943</v>
      </c>
      <c r="F60" s="219">
        <v>82.532830000000004</v>
      </c>
      <c r="G60" s="219">
        <v>62.173470000000002</v>
      </c>
      <c r="H60" s="219">
        <v>74.75103</v>
      </c>
      <c r="I60" s="219">
        <v>95.952740000000006</v>
      </c>
      <c r="J60" s="219">
        <v>130.67599999999999</v>
      </c>
      <c r="K60" s="219">
        <v>184.55850000000001</v>
      </c>
      <c r="L60" s="219">
        <v>223.97499999999999</v>
      </c>
      <c r="M60" s="219">
        <v>251.11770000000001</v>
      </c>
      <c r="N60" s="219">
        <v>1843.33727</v>
      </c>
    </row>
    <row r="61" spans="1:14" x14ac:dyDescent="0.2">
      <c r="A61" t="s">
        <v>1048</v>
      </c>
      <c r="B61" s="219">
        <v>218.9786</v>
      </c>
      <c r="C61" s="219">
        <v>181.58850000000001</v>
      </c>
      <c r="D61" s="219">
        <v>149.85239999999999</v>
      </c>
      <c r="E61" s="219">
        <v>94.408339999999995</v>
      </c>
      <c r="F61" s="219">
        <v>60.091450000000002</v>
      </c>
      <c r="G61" s="219">
        <v>43.8108</v>
      </c>
      <c r="H61" s="219">
        <v>51.053530000000002</v>
      </c>
      <c r="I61" s="219">
        <v>73.83287</v>
      </c>
      <c r="J61" s="219">
        <v>107.7016</v>
      </c>
      <c r="K61" s="219">
        <v>160.45769999999999</v>
      </c>
      <c r="L61" s="219">
        <v>184.56229999999999</v>
      </c>
      <c r="M61" s="219">
        <v>211.53200000000001</v>
      </c>
      <c r="N61" s="219">
        <v>1537.8700899999999</v>
      </c>
    </row>
    <row r="62" spans="1:14" x14ac:dyDescent="0.2">
      <c r="A62" t="s">
        <v>1049</v>
      </c>
      <c r="B62" s="219">
        <v>215.62719999999999</v>
      </c>
      <c r="C62" s="219">
        <v>171.58189999999999</v>
      </c>
      <c r="D62" s="219">
        <v>148.58189999999999</v>
      </c>
      <c r="E62" s="219">
        <v>96.467429999999993</v>
      </c>
      <c r="F62" s="219">
        <v>63.295670000000001</v>
      </c>
      <c r="G62" s="219">
        <v>47.033320000000003</v>
      </c>
      <c r="H62" s="219">
        <v>59.033320000000003</v>
      </c>
      <c r="I62" s="219">
        <v>80.193119999999993</v>
      </c>
      <c r="J62" s="219">
        <v>111.4102</v>
      </c>
      <c r="K62" s="219">
        <v>156.4555</v>
      </c>
      <c r="L62" s="219">
        <v>192.61529999999999</v>
      </c>
      <c r="M62" s="219">
        <v>214.77510000000001</v>
      </c>
      <c r="N62" s="219">
        <v>1557.06996</v>
      </c>
    </row>
    <row r="63" spans="1:14" x14ac:dyDescent="0.2">
      <c r="A63" t="s">
        <v>1050</v>
      </c>
      <c r="B63" s="219">
        <v>260.29660000000001</v>
      </c>
      <c r="C63" s="219">
        <v>217.315</v>
      </c>
      <c r="D63" s="219">
        <v>181.05199999999999</v>
      </c>
      <c r="E63" s="219">
        <v>135.23670000000001</v>
      </c>
      <c r="F63" s="219">
        <v>105.2533</v>
      </c>
      <c r="G63" s="219">
        <v>82.961950000000002</v>
      </c>
      <c r="H63" s="219">
        <v>94.413640000000001</v>
      </c>
      <c r="I63" s="219">
        <v>112.1991</v>
      </c>
      <c r="J63" s="219">
        <v>148.5162</v>
      </c>
      <c r="K63" s="219">
        <v>204.86269999999999</v>
      </c>
      <c r="L63" s="219">
        <v>236.97380000000001</v>
      </c>
      <c r="M63" s="219">
        <v>274.404</v>
      </c>
      <c r="N63" s="219">
        <v>2053.4849899999999</v>
      </c>
    </row>
    <row r="64" spans="1:14" x14ac:dyDescent="0.2">
      <c r="A64" t="s">
        <v>1051</v>
      </c>
      <c r="B64" s="219">
        <v>214.48240000000001</v>
      </c>
      <c r="C64" s="219">
        <v>161.98589999999999</v>
      </c>
      <c r="D64" s="219">
        <v>143.73769999999999</v>
      </c>
      <c r="E64" s="219">
        <v>94.992949999999993</v>
      </c>
      <c r="F64" s="219">
        <v>54.744709999999998</v>
      </c>
      <c r="G64" s="219">
        <v>43.496470000000002</v>
      </c>
      <c r="H64" s="219">
        <v>47.744709999999998</v>
      </c>
      <c r="I64" s="219">
        <v>73.992949999999993</v>
      </c>
      <c r="J64" s="219">
        <v>109.24120000000001</v>
      </c>
      <c r="K64" s="219">
        <v>158.98589999999999</v>
      </c>
      <c r="L64" s="219">
        <v>185.98589999999999</v>
      </c>
      <c r="M64" s="219">
        <v>207.73060000000001</v>
      </c>
      <c r="N64" s="219">
        <v>1497.1213899999998</v>
      </c>
    </row>
    <row r="65" spans="1:14" x14ac:dyDescent="0.2">
      <c r="A65" t="s">
        <v>1052</v>
      </c>
      <c r="B65" s="219">
        <v>246.6585</v>
      </c>
      <c r="C65" s="219">
        <v>196.6585</v>
      </c>
      <c r="D65" s="219">
        <v>171.2439</v>
      </c>
      <c r="E65" s="219">
        <v>111.2439</v>
      </c>
      <c r="F65" s="219">
        <v>75.829269999999994</v>
      </c>
      <c r="G65" s="219">
        <v>57.621949999999998</v>
      </c>
      <c r="H65" s="219">
        <v>69.829269999999994</v>
      </c>
      <c r="I65" s="219">
        <v>93.243899999999996</v>
      </c>
      <c r="J65" s="219">
        <v>127.2439</v>
      </c>
      <c r="K65" s="219">
        <v>181.6585</v>
      </c>
      <c r="L65" s="219">
        <v>222.86590000000001</v>
      </c>
      <c r="M65" s="219">
        <v>250.07320000000001</v>
      </c>
      <c r="N65" s="219">
        <v>1804.1706899999997</v>
      </c>
    </row>
    <row r="66" spans="1:14" x14ac:dyDescent="0.2">
      <c r="A66" t="s">
        <v>1053</v>
      </c>
      <c r="B66" s="219">
        <v>188</v>
      </c>
      <c r="C66" s="219">
        <v>146</v>
      </c>
      <c r="D66" s="219">
        <v>129</v>
      </c>
      <c r="E66" s="219">
        <v>87</v>
      </c>
      <c r="F66" s="219">
        <v>62</v>
      </c>
      <c r="G66" s="219">
        <v>49</v>
      </c>
      <c r="H66" s="219">
        <v>57</v>
      </c>
      <c r="I66" s="219">
        <v>81</v>
      </c>
      <c r="J66" s="219">
        <v>108</v>
      </c>
      <c r="K66" s="219">
        <v>144</v>
      </c>
      <c r="L66" s="219">
        <v>171</v>
      </c>
      <c r="M66" s="219">
        <v>189</v>
      </c>
      <c r="N66" s="219">
        <v>1411</v>
      </c>
    </row>
    <row r="67" spans="1:14" x14ac:dyDescent="0.2">
      <c r="A67" t="s">
        <v>1054</v>
      </c>
      <c r="B67" s="219">
        <v>218.65690000000001</v>
      </c>
      <c r="C67" s="219">
        <v>174.09119999999999</v>
      </c>
      <c r="D67" s="219">
        <v>151.1294</v>
      </c>
      <c r="E67" s="219">
        <v>97.399929999999998</v>
      </c>
      <c r="F67" s="219">
        <v>59.386119999999998</v>
      </c>
      <c r="G67" s="219">
        <v>42.952019999999997</v>
      </c>
      <c r="H67" s="219">
        <v>53.386119999999998</v>
      </c>
      <c r="I67" s="219">
        <v>76.872039999999998</v>
      </c>
      <c r="J67" s="219">
        <v>112.22020000000001</v>
      </c>
      <c r="K67" s="219">
        <v>158.86840000000001</v>
      </c>
      <c r="L67" s="219">
        <v>194.33260000000001</v>
      </c>
      <c r="M67" s="219">
        <v>215.18100000000001</v>
      </c>
      <c r="N67" s="219">
        <v>1554.4759300000001</v>
      </c>
    </row>
    <row r="68" spans="1:14" x14ac:dyDescent="0.2">
      <c r="A68" t="s">
        <v>1055</v>
      </c>
      <c r="B68" s="219">
        <v>204.21530000000001</v>
      </c>
      <c r="C68" s="219">
        <v>162.61369999999999</v>
      </c>
      <c r="D68" s="219">
        <v>137.82040000000001</v>
      </c>
      <c r="E68" s="219">
        <v>88.612570000000005</v>
      </c>
      <c r="F68" s="219">
        <v>53.605159999999998</v>
      </c>
      <c r="G68" s="219">
        <v>41.002470000000002</v>
      </c>
      <c r="H68" s="219">
        <v>46.602690000000003</v>
      </c>
      <c r="I68" s="219">
        <v>70.002470000000002</v>
      </c>
      <c r="J68" s="219">
        <v>102.6101</v>
      </c>
      <c r="K68" s="219">
        <v>147.19929999999999</v>
      </c>
      <c r="L68" s="219">
        <v>174.00739999999999</v>
      </c>
      <c r="M68" s="219">
        <v>197.00989999999999</v>
      </c>
      <c r="N68" s="219">
        <v>1425.3014600000001</v>
      </c>
    </row>
    <row r="69" spans="1:14" x14ac:dyDescent="0.2">
      <c r="A69" t="s">
        <v>1056</v>
      </c>
      <c r="B69" s="219">
        <v>241.5712</v>
      </c>
      <c r="C69" s="219">
        <v>210.49260000000001</v>
      </c>
      <c r="D69" s="219">
        <v>193.2244</v>
      </c>
      <c r="E69" s="219">
        <v>145.5478</v>
      </c>
      <c r="F69" s="219">
        <v>124.5119</v>
      </c>
      <c r="G69" s="219">
        <v>109.0312</v>
      </c>
      <c r="H69" s="219">
        <v>119.80629999999999</v>
      </c>
      <c r="I69" s="219">
        <v>139.3639</v>
      </c>
      <c r="J69" s="219">
        <v>165.82509999999999</v>
      </c>
      <c r="K69" s="219">
        <v>216.70240000000001</v>
      </c>
      <c r="L69" s="219">
        <v>236.18389999999999</v>
      </c>
      <c r="M69" s="219">
        <v>272.08319999999998</v>
      </c>
      <c r="N69" s="219">
        <v>2174.3438999999998</v>
      </c>
    </row>
    <row r="70" spans="1:14" x14ac:dyDescent="0.2">
      <c r="A70" t="s">
        <v>1057</v>
      </c>
      <c r="B70" s="219">
        <v>195.32910000000001</v>
      </c>
      <c r="C70" s="219">
        <v>168.18129999999999</v>
      </c>
      <c r="D70" s="219">
        <v>155.36779999999999</v>
      </c>
      <c r="E70" s="219">
        <v>115.3066</v>
      </c>
      <c r="F70" s="219">
        <v>89.106610000000003</v>
      </c>
      <c r="G70" s="219">
        <v>75.253950000000003</v>
      </c>
      <c r="H70" s="219">
        <v>86.212680000000006</v>
      </c>
      <c r="I70" s="219">
        <v>105.92919999999999</v>
      </c>
      <c r="J70" s="219">
        <v>132.87639999999999</v>
      </c>
      <c r="K70" s="219">
        <v>176.53299999999999</v>
      </c>
      <c r="L70" s="219">
        <v>189.46850000000001</v>
      </c>
      <c r="M70" s="219">
        <v>211.101</v>
      </c>
      <c r="N70" s="219">
        <v>1700.6661399999998</v>
      </c>
    </row>
    <row r="71" spans="1:14" x14ac:dyDescent="0.2">
      <c r="A71" t="s">
        <v>1058</v>
      </c>
      <c r="B71" s="219">
        <v>214.0986</v>
      </c>
      <c r="C71" s="219">
        <v>162.29519999999999</v>
      </c>
      <c r="D71" s="219">
        <v>143.8349</v>
      </c>
      <c r="E71" s="219">
        <v>94.1066</v>
      </c>
      <c r="F71" s="219">
        <v>54.76341</v>
      </c>
      <c r="G71" s="219">
        <v>43.303150000000002</v>
      </c>
      <c r="H71" s="219">
        <v>47.76341</v>
      </c>
      <c r="I71" s="219">
        <v>73.665139999999994</v>
      </c>
      <c r="J71" s="219">
        <v>109.3796</v>
      </c>
      <c r="K71" s="219">
        <v>158.73660000000001</v>
      </c>
      <c r="L71" s="219">
        <v>185.64330000000001</v>
      </c>
      <c r="M71" s="219">
        <v>208.40610000000001</v>
      </c>
      <c r="N71" s="219">
        <v>1495.9960099999998</v>
      </c>
    </row>
    <row r="72" spans="1:14" x14ac:dyDescent="0.2">
      <c r="A72" t="s">
        <v>1059</v>
      </c>
      <c r="B72" s="219">
        <v>197.72929999999999</v>
      </c>
      <c r="C72" s="219">
        <v>165.18969999999999</v>
      </c>
      <c r="D72" s="219">
        <v>126.004</v>
      </c>
      <c r="E72" s="219">
        <v>80.414900000000003</v>
      </c>
      <c r="F72" s="219">
        <v>50.810040000000001</v>
      </c>
      <c r="G72" s="219">
        <v>36.838430000000002</v>
      </c>
      <c r="H72" s="219">
        <v>43.414099999999998</v>
      </c>
      <c r="I72" s="219">
        <v>66.401589999999999</v>
      </c>
      <c r="J72" s="219">
        <v>95.395799999999994</v>
      </c>
      <c r="K72" s="219">
        <v>131.66970000000001</v>
      </c>
      <c r="L72" s="219">
        <v>158.8246</v>
      </c>
      <c r="M72" s="219">
        <v>191.4024</v>
      </c>
      <c r="N72" s="219">
        <v>1344.09456</v>
      </c>
    </row>
    <row r="73" spans="1:14" x14ac:dyDescent="0.2">
      <c r="A73" t="s">
        <v>1060</v>
      </c>
      <c r="B73" s="219">
        <v>197.08590000000001</v>
      </c>
      <c r="C73" s="219">
        <v>153.70330000000001</v>
      </c>
      <c r="D73" s="219">
        <v>122.8772</v>
      </c>
      <c r="E73" s="219">
        <v>71.647300000000001</v>
      </c>
      <c r="F73" s="219">
        <v>41.505600000000001</v>
      </c>
      <c r="G73" s="219">
        <v>31.375720000000001</v>
      </c>
      <c r="H73" s="219">
        <v>37.821660000000001</v>
      </c>
      <c r="I73" s="219">
        <v>61.676049999999996</v>
      </c>
      <c r="J73" s="219">
        <v>101.5283</v>
      </c>
      <c r="K73" s="219">
        <v>148.51130000000001</v>
      </c>
      <c r="L73" s="219">
        <v>179.61789999999999</v>
      </c>
      <c r="M73" s="219">
        <v>200.04259999999999</v>
      </c>
      <c r="N73" s="219">
        <v>1347.39283</v>
      </c>
    </row>
    <row r="74" spans="1:14" x14ac:dyDescent="0.2">
      <c r="A74" t="s">
        <v>1061</v>
      </c>
      <c r="B74" s="219">
        <v>204.39189999999999</v>
      </c>
      <c r="C74" s="219">
        <v>177.63210000000001</v>
      </c>
      <c r="D74" s="219">
        <v>144.4931</v>
      </c>
      <c r="E74" s="219">
        <v>89.605339999999998</v>
      </c>
      <c r="F74" s="219">
        <v>58.757820000000002</v>
      </c>
      <c r="G74" s="219">
        <v>42.625039999999998</v>
      </c>
      <c r="H74" s="219">
        <v>49.367570000000001</v>
      </c>
      <c r="I74" s="219">
        <v>71.27046</v>
      </c>
      <c r="J74" s="219">
        <v>100.116</v>
      </c>
      <c r="K74" s="219">
        <v>146.94309999999999</v>
      </c>
      <c r="L74" s="219">
        <v>167.61060000000001</v>
      </c>
      <c r="M74" s="219">
        <v>195.399</v>
      </c>
      <c r="N74" s="219">
        <v>1448.2120300000001</v>
      </c>
    </row>
    <row r="75" spans="1:14" x14ac:dyDescent="0.2">
      <c r="A75" t="s">
        <v>1062</v>
      </c>
      <c r="B75" s="219">
        <v>230.92019999999999</v>
      </c>
      <c r="C75" s="219">
        <v>198.28280000000001</v>
      </c>
      <c r="D75" s="219">
        <v>159.01920000000001</v>
      </c>
      <c r="E75" s="219">
        <v>98.973489999999998</v>
      </c>
      <c r="F75" s="219">
        <v>65.967169999999996</v>
      </c>
      <c r="G75" s="219">
        <v>46.560899999999997</v>
      </c>
      <c r="H75" s="219">
        <v>53.671019999999999</v>
      </c>
      <c r="I75" s="219">
        <v>77.018969999999996</v>
      </c>
      <c r="J75" s="219">
        <v>107.8519</v>
      </c>
      <c r="K75" s="219">
        <v>164.32769999999999</v>
      </c>
      <c r="L75" s="219">
        <v>191.4417</v>
      </c>
      <c r="M75" s="219">
        <v>221.39840000000001</v>
      </c>
      <c r="N75" s="219">
        <v>1615.43345</v>
      </c>
    </row>
    <row r="76" spans="1:14" x14ac:dyDescent="0.2">
      <c r="A76" t="s">
        <v>1063</v>
      </c>
      <c r="B76" s="219">
        <v>223.11680000000001</v>
      </c>
      <c r="C76" s="219">
        <v>176.08699999999999</v>
      </c>
      <c r="D76" s="219">
        <v>154.53139999999999</v>
      </c>
      <c r="E76" s="219">
        <v>101.3279</v>
      </c>
      <c r="F76" s="219">
        <v>70.184799999999996</v>
      </c>
      <c r="G76" s="219">
        <v>53.999130000000001</v>
      </c>
      <c r="H76" s="219">
        <v>65.020319999999998</v>
      </c>
      <c r="I76" s="219">
        <v>88.566059999999993</v>
      </c>
      <c r="J76" s="219">
        <v>120.0699</v>
      </c>
      <c r="K76" s="219">
        <v>165.4385</v>
      </c>
      <c r="L76" s="219">
        <v>201.654</v>
      </c>
      <c r="M76" s="219">
        <v>225.20959999999999</v>
      </c>
      <c r="N76" s="219">
        <v>1645.2054099999998</v>
      </c>
    </row>
    <row r="77" spans="1:14" x14ac:dyDescent="0.2">
      <c r="A77" t="s">
        <v>1064</v>
      </c>
      <c r="B77" s="219">
        <v>172</v>
      </c>
      <c r="C77" s="219">
        <v>147</v>
      </c>
      <c r="D77" s="219">
        <v>109</v>
      </c>
      <c r="E77" s="219">
        <v>69</v>
      </c>
      <c r="F77" s="219">
        <v>43</v>
      </c>
      <c r="G77" s="219">
        <v>30</v>
      </c>
      <c r="H77" s="219">
        <v>36</v>
      </c>
      <c r="I77" s="219">
        <v>57</v>
      </c>
      <c r="J77" s="219">
        <v>85</v>
      </c>
      <c r="K77" s="219">
        <v>121</v>
      </c>
      <c r="L77" s="219">
        <v>145</v>
      </c>
      <c r="M77" s="219">
        <v>168</v>
      </c>
      <c r="N77" s="219">
        <v>1182</v>
      </c>
    </row>
    <row r="78" spans="1:14" x14ac:dyDescent="0.2">
      <c r="A78" t="s">
        <v>1065</v>
      </c>
      <c r="B78" s="219">
        <v>208.2167</v>
      </c>
      <c r="C78" s="219">
        <v>166.15770000000001</v>
      </c>
      <c r="D78" s="219">
        <v>141.9504</v>
      </c>
      <c r="E78" s="219">
        <v>91.477850000000004</v>
      </c>
      <c r="F78" s="219">
        <v>56.465989999999998</v>
      </c>
      <c r="G78" s="219">
        <v>42.244120000000002</v>
      </c>
      <c r="H78" s="219">
        <v>46.995359999999998</v>
      </c>
      <c r="I78" s="219">
        <v>70.012029999999996</v>
      </c>
      <c r="J78" s="219">
        <v>105.23050000000001</v>
      </c>
      <c r="K78" s="219">
        <v>150.75559999999999</v>
      </c>
      <c r="L78" s="219">
        <v>174.30410000000001</v>
      </c>
      <c r="M78" s="219">
        <v>199.0104</v>
      </c>
      <c r="N78" s="219">
        <v>1452.8207500000003</v>
      </c>
    </row>
    <row r="79" spans="1:14" x14ac:dyDescent="0.2">
      <c r="A79" t="s">
        <v>1066</v>
      </c>
      <c r="B79" s="219">
        <v>216.64580000000001</v>
      </c>
      <c r="C79" s="219">
        <v>187.0633</v>
      </c>
      <c r="D79" s="219">
        <v>149.47749999999999</v>
      </c>
      <c r="E79" s="219">
        <v>95.287170000000003</v>
      </c>
      <c r="F79" s="219">
        <v>62.927520000000001</v>
      </c>
      <c r="G79" s="219">
        <v>47.661439999999999</v>
      </c>
      <c r="H79" s="219">
        <v>52.607880000000002</v>
      </c>
      <c r="I79" s="219">
        <v>74.514309999999995</v>
      </c>
      <c r="J79" s="219">
        <v>98.795010000000005</v>
      </c>
      <c r="K79" s="219">
        <v>150.834</v>
      </c>
      <c r="L79" s="219">
        <v>177.54570000000001</v>
      </c>
      <c r="M79" s="219">
        <v>209.8329</v>
      </c>
      <c r="N79" s="219">
        <v>1523.1925299999998</v>
      </c>
    </row>
    <row r="80" spans="1:14" x14ac:dyDescent="0.2">
      <c r="A80" t="s">
        <v>1067</v>
      </c>
      <c r="B80" s="219">
        <v>218.57919999999999</v>
      </c>
      <c r="C80" s="219">
        <v>175.81010000000001</v>
      </c>
      <c r="D80" s="219">
        <v>151.613</v>
      </c>
      <c r="E80" s="219">
        <v>96.611580000000004</v>
      </c>
      <c r="F80" s="219">
        <v>58.412759999999999</v>
      </c>
      <c r="G80" s="219">
        <v>40.799770000000002</v>
      </c>
      <c r="H80" s="219">
        <v>53.004869999999997</v>
      </c>
      <c r="I80" s="219">
        <v>75.435379999999995</v>
      </c>
      <c r="J80" s="219">
        <v>111.0035</v>
      </c>
      <c r="K80" s="219">
        <v>155.40989999999999</v>
      </c>
      <c r="L80" s="219">
        <v>192.01009999999999</v>
      </c>
      <c r="M80" s="219">
        <v>214.0017</v>
      </c>
      <c r="N80" s="219">
        <v>1542.6918600000001</v>
      </c>
    </row>
    <row r="81" spans="1:14" x14ac:dyDescent="0.2">
      <c r="A81" t="s">
        <v>1068</v>
      </c>
      <c r="B81" s="219">
        <v>231.2002</v>
      </c>
      <c r="C81" s="219">
        <v>193.15029999999999</v>
      </c>
      <c r="D81" s="219">
        <v>161.89429999999999</v>
      </c>
      <c r="E81" s="219">
        <v>106.7423</v>
      </c>
      <c r="F81" s="219">
        <v>70.561729999999997</v>
      </c>
      <c r="G81" s="219">
        <v>45.803319999999999</v>
      </c>
      <c r="H81" s="219">
        <v>58.621679999999998</v>
      </c>
      <c r="I81" s="219">
        <v>78.303200000000004</v>
      </c>
      <c r="J81" s="219">
        <v>111.31659999999999</v>
      </c>
      <c r="K81" s="219">
        <v>150.2165</v>
      </c>
      <c r="L81" s="219">
        <v>186.8434</v>
      </c>
      <c r="M81" s="219">
        <v>220.2595</v>
      </c>
      <c r="N81" s="219">
        <v>1614.9130299999997</v>
      </c>
    </row>
    <row r="82" spans="1:14" x14ac:dyDescent="0.2">
      <c r="A82" t="s">
        <v>1069</v>
      </c>
      <c r="B82" s="219">
        <v>172.41399999999999</v>
      </c>
      <c r="C82" s="219">
        <v>147.70070000000001</v>
      </c>
      <c r="D82" s="219">
        <v>108.73</v>
      </c>
      <c r="E82" s="219">
        <v>69.606020000000001</v>
      </c>
      <c r="F82" s="219">
        <v>42.895060000000001</v>
      </c>
      <c r="G82" s="219">
        <v>30.124780000000001</v>
      </c>
      <c r="H82" s="219">
        <v>36.48124</v>
      </c>
      <c r="I82" s="219">
        <v>57.654820000000001</v>
      </c>
      <c r="J82" s="219">
        <v>84.910799999999995</v>
      </c>
      <c r="K82" s="219">
        <v>118.7097</v>
      </c>
      <c r="L82" s="219">
        <v>143.57230000000001</v>
      </c>
      <c r="M82" s="219">
        <v>169.6122</v>
      </c>
      <c r="N82" s="219">
        <v>1182.4116199999999</v>
      </c>
    </row>
    <row r="83" spans="1:14" x14ac:dyDescent="0.2">
      <c r="A83" t="s">
        <v>1070</v>
      </c>
      <c r="B83" s="219">
        <v>258.33120000000002</v>
      </c>
      <c r="C83" s="219">
        <v>230.86519999999999</v>
      </c>
      <c r="D83" s="219">
        <v>215.49860000000001</v>
      </c>
      <c r="E83" s="219">
        <v>166.1566</v>
      </c>
      <c r="F83" s="219">
        <v>144.72790000000001</v>
      </c>
      <c r="G83" s="219">
        <v>132.12389999999999</v>
      </c>
      <c r="H83" s="219">
        <v>142.47120000000001</v>
      </c>
      <c r="I83" s="219">
        <v>156.09289999999999</v>
      </c>
      <c r="J83" s="219">
        <v>179.96360000000001</v>
      </c>
      <c r="K83" s="219">
        <v>235.7774</v>
      </c>
      <c r="L83" s="219">
        <v>261.64420000000001</v>
      </c>
      <c r="M83" s="219">
        <v>304.92610000000002</v>
      </c>
      <c r="N83" s="219">
        <v>2428.5788000000002</v>
      </c>
    </row>
    <row r="84" spans="1:14" x14ac:dyDescent="0.2">
      <c r="A84" t="s">
        <v>1071</v>
      </c>
      <c r="B84" s="219">
        <v>220</v>
      </c>
      <c r="C84" s="219">
        <v>175</v>
      </c>
      <c r="D84" s="219">
        <v>152</v>
      </c>
      <c r="E84" s="219">
        <v>100</v>
      </c>
      <c r="F84" s="219">
        <v>67</v>
      </c>
      <c r="G84" s="219">
        <v>49</v>
      </c>
      <c r="H84" s="219">
        <v>61</v>
      </c>
      <c r="I84" s="219">
        <v>83</v>
      </c>
      <c r="J84" s="219">
        <v>115</v>
      </c>
      <c r="K84" s="219">
        <v>161</v>
      </c>
      <c r="L84" s="219">
        <v>198</v>
      </c>
      <c r="M84" s="219">
        <v>221</v>
      </c>
      <c r="N84" s="219">
        <v>1602</v>
      </c>
    </row>
    <row r="85" spans="1:14" x14ac:dyDescent="0.2">
      <c r="A85" t="s">
        <v>1072</v>
      </c>
      <c r="B85" s="219">
        <v>247.0523</v>
      </c>
      <c r="C85" s="219">
        <v>197.0523</v>
      </c>
      <c r="D85" s="219">
        <v>171.53919999999999</v>
      </c>
      <c r="E85" s="219">
        <v>111.53919999999999</v>
      </c>
      <c r="F85" s="219">
        <v>76.026129999999995</v>
      </c>
      <c r="G85" s="219">
        <v>57.769599999999997</v>
      </c>
      <c r="H85" s="219">
        <v>70.026129999999995</v>
      </c>
      <c r="I85" s="219">
        <v>93.539190000000005</v>
      </c>
      <c r="J85" s="219">
        <v>127.53919999999999</v>
      </c>
      <c r="K85" s="219">
        <v>182.0523</v>
      </c>
      <c r="L85" s="219">
        <v>223.30879999999999</v>
      </c>
      <c r="M85" s="219">
        <v>250.56530000000001</v>
      </c>
      <c r="N85" s="219">
        <v>1808.00965</v>
      </c>
    </row>
    <row r="86" spans="1:14" x14ac:dyDescent="0.2">
      <c r="A86" t="s">
        <v>1073</v>
      </c>
      <c r="B86" s="219">
        <v>220.95500000000001</v>
      </c>
      <c r="C86" s="219">
        <v>174.56270000000001</v>
      </c>
      <c r="D86" s="219">
        <v>150.50200000000001</v>
      </c>
      <c r="E86" s="219">
        <v>97.413430000000005</v>
      </c>
      <c r="F86" s="219">
        <v>58.647210000000001</v>
      </c>
      <c r="G86" s="219">
        <v>44.380389999999998</v>
      </c>
      <c r="H86" s="219">
        <v>50.043590000000002</v>
      </c>
      <c r="I86" s="219">
        <v>74.010540000000006</v>
      </c>
      <c r="J86" s="219">
        <v>110.5245</v>
      </c>
      <c r="K86" s="219">
        <v>161.77029999999999</v>
      </c>
      <c r="L86" s="219">
        <v>190.80330000000001</v>
      </c>
      <c r="M86" s="219">
        <v>211.73179999999999</v>
      </c>
      <c r="N86" s="219">
        <v>1545.3447600000002</v>
      </c>
    </row>
    <row r="87" spans="1:14" x14ac:dyDescent="0.2">
      <c r="A87" t="s">
        <v>1074</v>
      </c>
      <c r="B87" s="219">
        <v>221.55549999999999</v>
      </c>
      <c r="C87" s="219">
        <v>174.517</v>
      </c>
      <c r="D87" s="219">
        <v>153.11680000000001</v>
      </c>
      <c r="E87" s="219">
        <v>100.24850000000001</v>
      </c>
      <c r="F87" s="219">
        <v>68.418580000000006</v>
      </c>
      <c r="G87" s="219">
        <v>52.473930000000003</v>
      </c>
      <c r="H87" s="219">
        <v>63.164000000000001</v>
      </c>
      <c r="I87" s="219">
        <v>87.191670000000002</v>
      </c>
      <c r="J87" s="219">
        <v>119.0827</v>
      </c>
      <c r="K87" s="219">
        <v>164.554</v>
      </c>
      <c r="L87" s="219">
        <v>199.6644</v>
      </c>
      <c r="M87" s="219">
        <v>222.6551</v>
      </c>
      <c r="N87" s="219">
        <v>1626.6421800000003</v>
      </c>
    </row>
    <row r="88" spans="1:14" x14ac:dyDescent="0.2">
      <c r="A88" t="s">
        <v>1075</v>
      </c>
      <c r="B88" s="219">
        <v>193.18770000000001</v>
      </c>
      <c r="C88" s="219">
        <v>149.59389999999999</v>
      </c>
      <c r="D88" s="219">
        <v>132.18770000000001</v>
      </c>
      <c r="E88" s="219">
        <v>88</v>
      </c>
      <c r="F88" s="219">
        <v>61</v>
      </c>
      <c r="G88" s="219">
        <v>48</v>
      </c>
      <c r="H88" s="219">
        <v>56.593850000000003</v>
      </c>
      <c r="I88" s="219">
        <v>80</v>
      </c>
      <c r="J88" s="219">
        <v>109</v>
      </c>
      <c r="K88" s="219">
        <v>147</v>
      </c>
      <c r="L88" s="219">
        <v>175.18770000000001</v>
      </c>
      <c r="M88" s="219">
        <v>194.18770000000001</v>
      </c>
      <c r="N88" s="219">
        <v>1433.9385499999999</v>
      </c>
    </row>
    <row r="89" spans="1:14" x14ac:dyDescent="0.2">
      <c r="A89" t="s">
        <v>1076</v>
      </c>
      <c r="B89" s="219">
        <v>193.97120000000001</v>
      </c>
      <c r="C89" s="219">
        <v>149.98560000000001</v>
      </c>
      <c r="D89" s="219">
        <v>132.97120000000001</v>
      </c>
      <c r="E89" s="219">
        <v>88</v>
      </c>
      <c r="F89" s="219">
        <v>61</v>
      </c>
      <c r="G89" s="219">
        <v>48</v>
      </c>
      <c r="H89" s="219">
        <v>56.985610000000001</v>
      </c>
      <c r="I89" s="219">
        <v>80</v>
      </c>
      <c r="J89" s="219">
        <v>109</v>
      </c>
      <c r="K89" s="219">
        <v>147</v>
      </c>
      <c r="L89" s="219">
        <v>175.97120000000001</v>
      </c>
      <c r="M89" s="219">
        <v>194.97120000000001</v>
      </c>
      <c r="N89" s="219">
        <v>1437.85601</v>
      </c>
    </row>
    <row r="90" spans="1:14" x14ac:dyDescent="0.2">
      <c r="A90" t="s">
        <v>1077</v>
      </c>
      <c r="B90" s="219">
        <v>219.922</v>
      </c>
      <c r="C90" s="219">
        <v>174.93600000000001</v>
      </c>
      <c r="D90" s="219">
        <v>151.4074</v>
      </c>
      <c r="E90" s="219">
        <v>98.024379999999994</v>
      </c>
      <c r="F90" s="219">
        <v>59.352119999999999</v>
      </c>
      <c r="G90" s="219">
        <v>43.449069999999999</v>
      </c>
      <c r="H90" s="219">
        <v>53.094810000000003</v>
      </c>
      <c r="I90" s="219">
        <v>77</v>
      </c>
      <c r="J90" s="219">
        <v>112.67230000000001</v>
      </c>
      <c r="K90" s="219">
        <v>160.4659</v>
      </c>
      <c r="L90" s="219">
        <v>195.4074</v>
      </c>
      <c r="M90" s="219">
        <v>215.96799999999999</v>
      </c>
      <c r="N90" s="219">
        <v>1561.69938</v>
      </c>
    </row>
    <row r="91" spans="1:14" x14ac:dyDescent="0.2">
      <c r="A91" t="s">
        <v>1078</v>
      </c>
      <c r="B91" s="219">
        <v>205.98990000000001</v>
      </c>
      <c r="C91" s="219">
        <v>169.67330000000001</v>
      </c>
      <c r="D91" s="219">
        <v>142.94130000000001</v>
      </c>
      <c r="E91" s="219">
        <v>90.619900000000001</v>
      </c>
      <c r="F91" s="219">
        <v>56.81711</v>
      </c>
      <c r="G91" s="219">
        <v>42.204790000000003</v>
      </c>
      <c r="H91" s="219">
        <v>48.304679999999998</v>
      </c>
      <c r="I91" s="219">
        <v>71.006619999999998</v>
      </c>
      <c r="J91" s="219">
        <v>103.6112</v>
      </c>
      <c r="K91" s="219">
        <v>152.23060000000001</v>
      </c>
      <c r="L91" s="219">
        <v>176.43279999999999</v>
      </c>
      <c r="M91" s="219">
        <v>200.55699999999999</v>
      </c>
      <c r="N91" s="219">
        <v>1460.3892000000001</v>
      </c>
    </row>
    <row r="92" spans="1:14" x14ac:dyDescent="0.2">
      <c r="A92" t="s">
        <v>1079</v>
      </c>
      <c r="B92" s="219">
        <v>245</v>
      </c>
      <c r="C92" s="219">
        <v>195</v>
      </c>
      <c r="D92" s="219">
        <v>170</v>
      </c>
      <c r="E92" s="219">
        <v>110</v>
      </c>
      <c r="F92" s="219">
        <v>75</v>
      </c>
      <c r="G92" s="219">
        <v>57</v>
      </c>
      <c r="H92" s="219">
        <v>69</v>
      </c>
      <c r="I92" s="219">
        <v>92</v>
      </c>
      <c r="J92" s="219">
        <v>126</v>
      </c>
      <c r="K92" s="219">
        <v>180</v>
      </c>
      <c r="L92" s="219">
        <v>221</v>
      </c>
      <c r="M92" s="219">
        <v>248</v>
      </c>
      <c r="N92" s="219">
        <v>1788</v>
      </c>
    </row>
    <row r="93" spans="1:14" x14ac:dyDescent="0.2">
      <c r="A93" t="s">
        <v>1080</v>
      </c>
      <c r="B93" s="219">
        <v>214.30549999999999</v>
      </c>
      <c r="C93" s="219">
        <v>162.30549999999999</v>
      </c>
      <c r="D93" s="219">
        <v>143.7364</v>
      </c>
      <c r="E93" s="219">
        <v>95.157430000000005</v>
      </c>
      <c r="F93" s="219">
        <v>54.873080000000002</v>
      </c>
      <c r="G93" s="219">
        <v>43.294370000000001</v>
      </c>
      <c r="H93" s="219">
        <v>47.588520000000003</v>
      </c>
      <c r="I93" s="219">
        <v>73.588740000000001</v>
      </c>
      <c r="J93" s="219">
        <v>109.4516</v>
      </c>
      <c r="K93" s="219">
        <v>158.7364</v>
      </c>
      <c r="L93" s="219">
        <v>186.01140000000001</v>
      </c>
      <c r="M93" s="219">
        <v>207.3151</v>
      </c>
      <c r="N93" s="219">
        <v>1496.3640399999999</v>
      </c>
    </row>
    <row r="94" spans="1:14" x14ac:dyDescent="0.2">
      <c r="A94" t="s">
        <v>1081</v>
      </c>
      <c r="B94" s="219">
        <v>198.59389999999999</v>
      </c>
      <c r="C94" s="219">
        <v>168.00139999999999</v>
      </c>
      <c r="D94" s="219">
        <v>138.1814</v>
      </c>
      <c r="E94" s="219">
        <v>85.787379999999999</v>
      </c>
      <c r="F94" s="219">
        <v>53.561979999999998</v>
      </c>
      <c r="G94" s="219">
        <v>40.12865</v>
      </c>
      <c r="H94" s="219">
        <v>45.695529999999998</v>
      </c>
      <c r="I94" s="219">
        <v>69.440380000000005</v>
      </c>
      <c r="J94" s="219">
        <v>98.507499999999993</v>
      </c>
      <c r="K94" s="219">
        <v>137.80279999999999</v>
      </c>
      <c r="L94" s="219">
        <v>161.89009999999999</v>
      </c>
      <c r="M94" s="219">
        <v>190.702</v>
      </c>
      <c r="N94" s="219">
        <v>1388.2930199999998</v>
      </c>
    </row>
    <row r="95" spans="1:14" x14ac:dyDescent="0.2">
      <c r="A95" t="s">
        <v>1082</v>
      </c>
      <c r="B95" s="219">
        <v>207.97290000000001</v>
      </c>
      <c r="C95" s="219">
        <v>177.91120000000001</v>
      </c>
      <c r="D95" s="219">
        <v>165.0701</v>
      </c>
      <c r="E95" s="219">
        <v>120.78530000000001</v>
      </c>
      <c r="F95" s="219">
        <v>97.992519999999999</v>
      </c>
      <c r="G95" s="219">
        <v>80.615110000000001</v>
      </c>
      <c r="H95" s="219">
        <v>95.761740000000003</v>
      </c>
      <c r="I95" s="219">
        <v>118.28019999999999</v>
      </c>
      <c r="J95" s="219">
        <v>146.6558</v>
      </c>
      <c r="K95" s="219">
        <v>187.86160000000001</v>
      </c>
      <c r="L95" s="219">
        <v>193.22200000000001</v>
      </c>
      <c r="M95" s="219">
        <v>218.21119999999999</v>
      </c>
      <c r="N95" s="219">
        <v>1810.3396699999998</v>
      </c>
    </row>
    <row r="96" spans="1:14" x14ac:dyDescent="0.2">
      <c r="A96" t="s">
        <v>1083</v>
      </c>
      <c r="B96" s="219">
        <v>184.63720000000001</v>
      </c>
      <c r="C96" s="219">
        <v>158.2619</v>
      </c>
      <c r="D96" s="219">
        <v>116.1431</v>
      </c>
      <c r="E96" s="219">
        <v>75.428719999999998</v>
      </c>
      <c r="F96" s="219">
        <v>47.087879999999998</v>
      </c>
      <c r="G96" s="219">
        <v>32.750540000000001</v>
      </c>
      <c r="H96" s="219">
        <v>39.74879</v>
      </c>
      <c r="I96" s="219">
        <v>62.463149999999999</v>
      </c>
      <c r="J96" s="219">
        <v>90.461399999999998</v>
      </c>
      <c r="K96" s="219">
        <v>125.1052</v>
      </c>
      <c r="L96" s="219">
        <v>148.2654</v>
      </c>
      <c r="M96" s="219">
        <v>179.56829999999999</v>
      </c>
      <c r="N96" s="219">
        <v>1259.9215799999999</v>
      </c>
    </row>
    <row r="97" spans="1:14" x14ac:dyDescent="0.2">
      <c r="A97" t="s">
        <v>1084</v>
      </c>
      <c r="B97" s="219">
        <v>177.91640000000001</v>
      </c>
      <c r="C97" s="219">
        <v>152.25360000000001</v>
      </c>
      <c r="D97" s="219">
        <v>111.5566</v>
      </c>
      <c r="E97" s="219">
        <v>72.203429999999997</v>
      </c>
      <c r="F97" s="219">
        <v>45.08455</v>
      </c>
      <c r="G97" s="219">
        <v>32.03434</v>
      </c>
      <c r="H97" s="219">
        <v>39.03434</v>
      </c>
      <c r="I97" s="219">
        <v>60.08455</v>
      </c>
      <c r="J97" s="219">
        <v>88.084549999999993</v>
      </c>
      <c r="K97" s="219">
        <v>119.60680000000001</v>
      </c>
      <c r="L97" s="219">
        <v>141.95070000000001</v>
      </c>
      <c r="M97" s="219">
        <v>171.69130000000001</v>
      </c>
      <c r="N97" s="219">
        <v>1211.5011600000003</v>
      </c>
    </row>
    <row r="98" spans="1:14" x14ac:dyDescent="0.2">
      <c r="A98" t="s">
        <v>1085</v>
      </c>
      <c r="B98" s="219">
        <v>186.4222</v>
      </c>
      <c r="C98" s="219">
        <v>155.09819999999999</v>
      </c>
      <c r="D98" s="219">
        <v>120.75879999999999</v>
      </c>
      <c r="E98" s="219">
        <v>71.212729999999993</v>
      </c>
      <c r="F98" s="219">
        <v>43.655169999999998</v>
      </c>
      <c r="G98" s="219">
        <v>33.45626</v>
      </c>
      <c r="H98" s="219">
        <v>34.47748</v>
      </c>
      <c r="I98" s="219">
        <v>58.808920000000001</v>
      </c>
      <c r="J98" s="219">
        <v>95.158320000000003</v>
      </c>
      <c r="K98" s="219">
        <v>138.34</v>
      </c>
      <c r="L98" s="219">
        <v>170.9778</v>
      </c>
      <c r="M98" s="219">
        <v>182.2508</v>
      </c>
      <c r="N98" s="219">
        <v>1290.6166800000001</v>
      </c>
    </row>
    <row r="99" spans="1:14" x14ac:dyDescent="0.2">
      <c r="A99" t="s">
        <v>1086</v>
      </c>
      <c r="B99" s="219">
        <v>192.56309999999999</v>
      </c>
      <c r="C99" s="219">
        <v>160.28710000000001</v>
      </c>
      <c r="D99" s="219">
        <v>126.99</v>
      </c>
      <c r="E99" s="219">
        <v>82.06635</v>
      </c>
      <c r="F99" s="219">
        <v>51.708629999999999</v>
      </c>
      <c r="G99" s="219">
        <v>40.724989999999998</v>
      </c>
      <c r="H99" s="219">
        <v>44.439909999999998</v>
      </c>
      <c r="I99" s="219">
        <v>65.28886</v>
      </c>
      <c r="J99" s="219">
        <v>90.816419999999994</v>
      </c>
      <c r="K99" s="219">
        <v>134.70849999999999</v>
      </c>
      <c r="L99" s="219">
        <v>163.48679999999999</v>
      </c>
      <c r="M99" s="219">
        <v>190.71690000000001</v>
      </c>
      <c r="N99" s="219">
        <v>1343.79756</v>
      </c>
    </row>
    <row r="100" spans="1:14" x14ac:dyDescent="0.2">
      <c r="A100" t="s">
        <v>1087</v>
      </c>
      <c r="B100" s="219">
        <v>201.31989999999999</v>
      </c>
      <c r="C100" s="219">
        <v>167.19329999999999</v>
      </c>
      <c r="D100" s="219">
        <v>140.0968</v>
      </c>
      <c r="E100" s="219">
        <v>88.006799999999998</v>
      </c>
      <c r="F100" s="219">
        <v>55.089689999999997</v>
      </c>
      <c r="G100" s="219">
        <v>40.999699999999997</v>
      </c>
      <c r="H100" s="219">
        <v>47</v>
      </c>
      <c r="I100" s="219">
        <v>70.999409999999997</v>
      </c>
      <c r="J100" s="219">
        <v>101.9162</v>
      </c>
      <c r="K100" s="219">
        <v>145.11340000000001</v>
      </c>
      <c r="L100" s="219">
        <v>169.83070000000001</v>
      </c>
      <c r="M100" s="219">
        <v>194.11099999999999</v>
      </c>
      <c r="N100" s="219">
        <v>1421.6768999999999</v>
      </c>
    </row>
    <row r="101" spans="1:14" x14ac:dyDescent="0.2">
      <c r="A101" t="s">
        <v>1088</v>
      </c>
      <c r="B101" s="219">
        <v>208.5719</v>
      </c>
      <c r="C101" s="219">
        <v>183.4179</v>
      </c>
      <c r="D101" s="219">
        <v>189.36949999999999</v>
      </c>
      <c r="E101" s="219">
        <v>185.42140000000001</v>
      </c>
      <c r="F101" s="219">
        <v>187.61080000000001</v>
      </c>
      <c r="G101" s="219">
        <v>163.5395</v>
      </c>
      <c r="H101" s="219">
        <v>178.64750000000001</v>
      </c>
      <c r="I101" s="219">
        <v>194.72120000000001</v>
      </c>
      <c r="J101" s="219">
        <v>211.16929999999999</v>
      </c>
      <c r="K101" s="219">
        <v>246.78389999999999</v>
      </c>
      <c r="L101" s="219">
        <v>261.56689999999998</v>
      </c>
      <c r="M101" s="219">
        <v>229.0797</v>
      </c>
      <c r="N101" s="219">
        <v>2439.8994999999995</v>
      </c>
    </row>
    <row r="102" spans="1:14" x14ac:dyDescent="0.2">
      <c r="A102" t="s">
        <v>1089</v>
      </c>
      <c r="B102" s="219">
        <v>201</v>
      </c>
      <c r="C102" s="219">
        <v>170</v>
      </c>
      <c r="D102" s="219">
        <v>137.95179999999999</v>
      </c>
      <c r="E102" s="219">
        <v>84.475880000000004</v>
      </c>
      <c r="F102" s="219">
        <v>53.951749999999997</v>
      </c>
      <c r="G102" s="219">
        <v>39</v>
      </c>
      <c r="H102" s="219">
        <v>45.475879999999997</v>
      </c>
      <c r="I102" s="219">
        <v>68.951750000000004</v>
      </c>
      <c r="J102" s="219">
        <v>98.475880000000004</v>
      </c>
      <c r="K102" s="219">
        <v>135.95179999999999</v>
      </c>
      <c r="L102" s="219">
        <v>160</v>
      </c>
      <c r="M102" s="219">
        <v>192.57239999999999</v>
      </c>
      <c r="N102" s="219">
        <v>1387.8071399999999</v>
      </c>
    </row>
    <row r="103" spans="1:14" x14ac:dyDescent="0.2">
      <c r="A103" t="s">
        <v>1090</v>
      </c>
      <c r="B103" s="219">
        <v>220.0753</v>
      </c>
      <c r="C103" s="219">
        <v>175.06219999999999</v>
      </c>
      <c r="D103" s="219">
        <v>152.05240000000001</v>
      </c>
      <c r="E103" s="219">
        <v>100.036</v>
      </c>
      <c r="F103" s="219">
        <v>67.02946</v>
      </c>
      <c r="G103" s="219">
        <v>49.022919999999999</v>
      </c>
      <c r="H103" s="219">
        <v>61.02946</v>
      </c>
      <c r="I103" s="219">
        <v>83.02946</v>
      </c>
      <c r="J103" s="219">
        <v>115.0393</v>
      </c>
      <c r="K103" s="219">
        <v>161.05240000000001</v>
      </c>
      <c r="L103" s="219">
        <v>198.06549999999999</v>
      </c>
      <c r="M103" s="219">
        <v>221.08179999999999</v>
      </c>
      <c r="N103" s="219">
        <v>1602.5761999999997</v>
      </c>
    </row>
    <row r="104" spans="1:14" x14ac:dyDescent="0.2">
      <c r="A104" t="s">
        <v>1091</v>
      </c>
      <c r="B104" s="219">
        <v>176.14189999999999</v>
      </c>
      <c r="C104" s="219">
        <v>148.78729999999999</v>
      </c>
      <c r="D104" s="219">
        <v>108.91719999999999</v>
      </c>
      <c r="E104" s="219">
        <v>67.023880000000005</v>
      </c>
      <c r="F104" s="219">
        <v>39.8797</v>
      </c>
      <c r="G104" s="219">
        <v>30.585550000000001</v>
      </c>
      <c r="H104" s="219">
        <v>32.887590000000003</v>
      </c>
      <c r="I104" s="219">
        <v>57.102809999999998</v>
      </c>
      <c r="J104" s="219">
        <v>89.616159999999994</v>
      </c>
      <c r="K104" s="219">
        <v>130.84309999999999</v>
      </c>
      <c r="L104" s="219">
        <v>159.2747</v>
      </c>
      <c r="M104" s="219">
        <v>178.33619999999999</v>
      </c>
      <c r="N104" s="219">
        <v>1219.39609</v>
      </c>
    </row>
    <row r="105" spans="1:14" x14ac:dyDescent="0.2">
      <c r="A105" t="s">
        <v>1092</v>
      </c>
      <c r="B105" s="219">
        <v>205</v>
      </c>
      <c r="C105" s="219">
        <v>158</v>
      </c>
      <c r="D105" s="219">
        <v>142</v>
      </c>
      <c r="E105" s="219">
        <v>94</v>
      </c>
      <c r="F105" s="219">
        <v>66</v>
      </c>
      <c r="G105" s="219">
        <v>51</v>
      </c>
      <c r="H105" s="219">
        <v>61</v>
      </c>
      <c r="I105" s="219">
        <v>86</v>
      </c>
      <c r="J105" s="219">
        <v>117</v>
      </c>
      <c r="K105" s="219">
        <v>154</v>
      </c>
      <c r="L105" s="219">
        <v>186</v>
      </c>
      <c r="M105" s="219">
        <v>205</v>
      </c>
      <c r="N105" s="219">
        <v>1525</v>
      </c>
    </row>
    <row r="106" spans="1:14" x14ac:dyDescent="0.2">
      <c r="A106" t="s">
        <v>1093</v>
      </c>
      <c r="B106" s="219">
        <v>172.11080000000001</v>
      </c>
      <c r="C106" s="219">
        <v>146.24260000000001</v>
      </c>
      <c r="D106" s="219">
        <v>114.3428</v>
      </c>
      <c r="E106" s="219">
        <v>71.462029999999999</v>
      </c>
      <c r="F106" s="219">
        <v>44.505629999999996</v>
      </c>
      <c r="G106" s="219">
        <v>33.829680000000003</v>
      </c>
      <c r="H106" s="219">
        <v>36.884250000000002</v>
      </c>
      <c r="I106" s="219">
        <v>57.114750000000001</v>
      </c>
      <c r="J106" s="219">
        <v>83.884240000000005</v>
      </c>
      <c r="K106" s="219">
        <v>123.0261</v>
      </c>
      <c r="L106" s="219">
        <v>149.88550000000001</v>
      </c>
      <c r="M106" s="219">
        <v>167.71469999999999</v>
      </c>
      <c r="N106" s="219">
        <v>1201.00308</v>
      </c>
    </row>
    <row r="107" spans="1:14" x14ac:dyDescent="0.2">
      <c r="A107" t="s">
        <v>1094</v>
      </c>
      <c r="B107" s="219">
        <v>218.69220000000001</v>
      </c>
      <c r="C107" s="219">
        <v>177.10239999999999</v>
      </c>
      <c r="D107" s="219">
        <v>152.2706</v>
      </c>
      <c r="E107" s="219">
        <v>96.487200000000001</v>
      </c>
      <c r="F107" s="219">
        <v>58.270650000000003</v>
      </c>
      <c r="G107" s="219">
        <v>40.270650000000003</v>
      </c>
      <c r="H107" s="219">
        <v>52.794809999999998</v>
      </c>
      <c r="I107" s="219">
        <v>75.849069999999998</v>
      </c>
      <c r="J107" s="219">
        <v>110.38460000000001</v>
      </c>
      <c r="K107" s="219">
        <v>154.8604</v>
      </c>
      <c r="L107" s="219">
        <v>192.16810000000001</v>
      </c>
      <c r="M107" s="219">
        <v>214.16810000000001</v>
      </c>
      <c r="N107" s="219">
        <v>1543.3187800000003</v>
      </c>
    </row>
    <row r="108" spans="1:14" x14ac:dyDescent="0.2">
      <c r="A108" t="s">
        <v>1095</v>
      </c>
      <c r="B108" s="219">
        <v>222</v>
      </c>
      <c r="C108" s="219">
        <v>168</v>
      </c>
      <c r="D108" s="219">
        <v>149</v>
      </c>
      <c r="E108" s="219">
        <v>98</v>
      </c>
      <c r="F108" s="219">
        <v>57</v>
      </c>
      <c r="G108" s="219">
        <v>45</v>
      </c>
      <c r="H108" s="219">
        <v>50</v>
      </c>
      <c r="I108" s="219">
        <v>77</v>
      </c>
      <c r="J108" s="219">
        <v>113</v>
      </c>
      <c r="K108" s="219">
        <v>165</v>
      </c>
      <c r="L108" s="219">
        <v>192</v>
      </c>
      <c r="M108" s="219">
        <v>216</v>
      </c>
      <c r="N108" s="219">
        <v>1552</v>
      </c>
    </row>
    <row r="109" spans="1:14" x14ac:dyDescent="0.2">
      <c r="A109" t="s">
        <v>1096</v>
      </c>
      <c r="B109" s="219">
        <v>214.07570000000001</v>
      </c>
      <c r="C109" s="219">
        <v>162.0676</v>
      </c>
      <c r="D109" s="219">
        <v>143.3852</v>
      </c>
      <c r="E109" s="219">
        <v>94.016159999999999</v>
      </c>
      <c r="F109" s="219">
        <v>54.690559999999998</v>
      </c>
      <c r="G109" s="219">
        <v>43.00808</v>
      </c>
      <c r="H109" s="219">
        <v>47.690559999999998</v>
      </c>
      <c r="I109" s="219">
        <v>73.694599999999994</v>
      </c>
      <c r="J109" s="219">
        <v>108.6986</v>
      </c>
      <c r="K109" s="219">
        <v>158.38919999999999</v>
      </c>
      <c r="L109" s="219">
        <v>185.38919999999999</v>
      </c>
      <c r="M109" s="219">
        <v>207.07980000000001</v>
      </c>
      <c r="N109" s="219">
        <v>1492.1852600000002</v>
      </c>
    </row>
    <row r="110" spans="1:14" x14ac:dyDescent="0.2">
      <c r="A110" t="s">
        <v>1097</v>
      </c>
      <c r="B110" s="219">
        <v>227.31729999999999</v>
      </c>
      <c r="C110" s="219">
        <v>198.00290000000001</v>
      </c>
      <c r="D110" s="219">
        <v>205.83189999999999</v>
      </c>
      <c r="E110" s="219">
        <v>173.95779999999999</v>
      </c>
      <c r="F110" s="219">
        <v>159.67750000000001</v>
      </c>
      <c r="G110" s="219">
        <v>143.959</v>
      </c>
      <c r="H110" s="219">
        <v>153.12870000000001</v>
      </c>
      <c r="I110" s="219">
        <v>168.39699999999999</v>
      </c>
      <c r="J110" s="219">
        <v>189.99340000000001</v>
      </c>
      <c r="K110" s="219">
        <v>232.96170000000001</v>
      </c>
      <c r="L110" s="219">
        <v>240.7251</v>
      </c>
      <c r="M110" s="219">
        <v>248.64760000000001</v>
      </c>
      <c r="N110" s="219">
        <v>2342.5999000000002</v>
      </c>
    </row>
    <row r="111" spans="1:14" x14ac:dyDescent="0.2">
      <c r="A111" t="s">
        <v>1098</v>
      </c>
      <c r="B111" s="219">
        <v>191.43129999999999</v>
      </c>
      <c r="C111" s="219">
        <v>164.1156</v>
      </c>
      <c r="D111" s="219">
        <v>153.11320000000001</v>
      </c>
      <c r="E111" s="219">
        <v>111.4141</v>
      </c>
      <c r="F111" s="219">
        <v>91.751639999999995</v>
      </c>
      <c r="G111" s="219">
        <v>75.764200000000002</v>
      </c>
      <c r="H111" s="219">
        <v>89.751639999999995</v>
      </c>
      <c r="I111" s="219">
        <v>111.3732</v>
      </c>
      <c r="J111" s="219">
        <v>136.85570000000001</v>
      </c>
      <c r="K111" s="219">
        <v>171.9171</v>
      </c>
      <c r="L111" s="219">
        <v>175.316</v>
      </c>
      <c r="M111" s="219">
        <v>201.4228</v>
      </c>
      <c r="N111" s="219">
        <v>1674.2264799999998</v>
      </c>
    </row>
    <row r="112" spans="1:14" x14ac:dyDescent="0.2">
      <c r="A112" t="s">
        <v>1099</v>
      </c>
      <c r="B112" s="219">
        <v>251.50710000000001</v>
      </c>
      <c r="C112" s="219">
        <v>201.64279999999999</v>
      </c>
      <c r="D112" s="219">
        <v>174.9128</v>
      </c>
      <c r="E112" s="219">
        <v>115.02460000000001</v>
      </c>
      <c r="F112" s="219">
        <v>78.454139999999995</v>
      </c>
      <c r="G112" s="219">
        <v>59.589109999999998</v>
      </c>
      <c r="H112" s="219">
        <v>72.407899999999998</v>
      </c>
      <c r="I112" s="219">
        <v>96.936610000000002</v>
      </c>
      <c r="J112" s="219">
        <v>130.97839999999999</v>
      </c>
      <c r="K112" s="219">
        <v>186.57570000000001</v>
      </c>
      <c r="L112" s="219">
        <v>228.32740000000001</v>
      </c>
      <c r="M112" s="219">
        <v>256.12529999999998</v>
      </c>
      <c r="N112" s="219">
        <v>1852.4818600000001</v>
      </c>
    </row>
    <row r="113" spans="1:14" x14ac:dyDescent="0.2">
      <c r="A113" t="s">
        <v>1100</v>
      </c>
      <c r="B113" s="219">
        <v>255.66329999999999</v>
      </c>
      <c r="C113" s="219">
        <v>212.11410000000001</v>
      </c>
      <c r="D113" s="219">
        <v>177.22290000000001</v>
      </c>
      <c r="E113" s="219">
        <v>130.31370000000001</v>
      </c>
      <c r="F113" s="219">
        <v>99.28143</v>
      </c>
      <c r="G113" s="219">
        <v>75.588239999999999</v>
      </c>
      <c r="H113" s="219">
        <v>87.298150000000007</v>
      </c>
      <c r="I113" s="219">
        <v>105.8922</v>
      </c>
      <c r="J113" s="219">
        <v>140.15039999999999</v>
      </c>
      <c r="K113" s="219">
        <v>195.04159999999999</v>
      </c>
      <c r="L113" s="219">
        <v>232.34030000000001</v>
      </c>
      <c r="M113" s="219">
        <v>268.13499999999999</v>
      </c>
      <c r="N113" s="219">
        <v>1979.0413200000003</v>
      </c>
    </row>
    <row r="114" spans="1:14" x14ac:dyDescent="0.2">
      <c r="A114" t="s">
        <v>1101</v>
      </c>
      <c r="B114" s="219">
        <v>249.72069999999999</v>
      </c>
      <c r="C114" s="219">
        <v>199.72069999999999</v>
      </c>
      <c r="D114" s="219">
        <v>173.54050000000001</v>
      </c>
      <c r="E114" s="219">
        <v>113.54049999999999</v>
      </c>
      <c r="F114" s="219">
        <v>77.36036</v>
      </c>
      <c r="G114" s="219">
        <v>58.770269999999996</v>
      </c>
      <c r="H114" s="219">
        <v>71.36036</v>
      </c>
      <c r="I114" s="219">
        <v>95.540539999999993</v>
      </c>
      <c r="J114" s="219">
        <v>129.54050000000001</v>
      </c>
      <c r="K114" s="219">
        <v>184.72069999999999</v>
      </c>
      <c r="L114" s="219">
        <v>226.3108</v>
      </c>
      <c r="M114" s="219">
        <v>253.90090000000001</v>
      </c>
      <c r="N114" s="219">
        <v>1834.0268300000002</v>
      </c>
    </row>
    <row r="115" spans="1:14" x14ac:dyDescent="0.2">
      <c r="A115" t="s">
        <v>1102</v>
      </c>
      <c r="B115" s="219">
        <v>216.2175</v>
      </c>
      <c r="C115" s="219">
        <v>192.14779999999999</v>
      </c>
      <c r="D115" s="219">
        <v>197.25299999999999</v>
      </c>
      <c r="E115" s="219">
        <v>148.4872</v>
      </c>
      <c r="F115" s="219">
        <v>134.87260000000001</v>
      </c>
      <c r="G115" s="219">
        <v>119.2942</v>
      </c>
      <c r="H115" s="219">
        <v>120.1371</v>
      </c>
      <c r="I115" s="219">
        <v>131.49780000000001</v>
      </c>
      <c r="J115" s="219">
        <v>157.2278</v>
      </c>
      <c r="K115" s="219">
        <v>201.6815</v>
      </c>
      <c r="L115" s="219">
        <v>217.29599999999999</v>
      </c>
      <c r="M115" s="219">
        <v>231.28190000000001</v>
      </c>
      <c r="N115" s="219">
        <v>2067.3944000000001</v>
      </c>
    </row>
    <row r="116" spans="1:14" x14ac:dyDescent="0.2">
      <c r="A116" t="s">
        <v>1103</v>
      </c>
      <c r="B116" s="219">
        <v>237.29429999999999</v>
      </c>
      <c r="C116" s="219">
        <v>188.79050000000001</v>
      </c>
      <c r="D116" s="219">
        <v>164.0309</v>
      </c>
      <c r="E116" s="219">
        <v>108.27119999999999</v>
      </c>
      <c r="F116" s="219">
        <v>73.767349999999993</v>
      </c>
      <c r="G116" s="219">
        <v>54.759639999999997</v>
      </c>
      <c r="H116" s="219">
        <v>68.015429999999995</v>
      </c>
      <c r="I116" s="219">
        <v>90.511570000000006</v>
      </c>
      <c r="J116" s="219">
        <v>124.76739999999999</v>
      </c>
      <c r="K116" s="219">
        <v>173.77510000000001</v>
      </c>
      <c r="L116" s="219">
        <v>213.0386</v>
      </c>
      <c r="M116" s="219">
        <v>239.55009999999999</v>
      </c>
      <c r="N116" s="219">
        <v>1736.5720900000001</v>
      </c>
    </row>
    <row r="117" spans="1:14" x14ac:dyDescent="0.2">
      <c r="A117" t="s">
        <v>1104</v>
      </c>
      <c r="B117" s="219">
        <v>197</v>
      </c>
      <c r="C117" s="219">
        <v>161</v>
      </c>
      <c r="D117" s="219">
        <v>150</v>
      </c>
      <c r="E117" s="219">
        <v>114</v>
      </c>
      <c r="F117" s="219">
        <v>92</v>
      </c>
      <c r="G117" s="219">
        <v>75</v>
      </c>
      <c r="H117" s="219">
        <v>85</v>
      </c>
      <c r="I117" s="219">
        <v>103</v>
      </c>
      <c r="J117" s="219">
        <v>128</v>
      </c>
      <c r="K117" s="219">
        <v>162</v>
      </c>
      <c r="L117" s="219">
        <v>174</v>
      </c>
      <c r="M117" s="219">
        <v>189</v>
      </c>
      <c r="N117" s="219">
        <v>1630</v>
      </c>
    </row>
    <row r="118" spans="1:14" x14ac:dyDescent="0.2">
      <c r="A118" t="s">
        <v>1105</v>
      </c>
      <c r="B118" s="219">
        <v>177</v>
      </c>
      <c r="C118" s="219">
        <v>138</v>
      </c>
      <c r="D118" s="219">
        <v>149</v>
      </c>
      <c r="E118" s="219">
        <v>97</v>
      </c>
      <c r="F118" s="219">
        <v>74</v>
      </c>
      <c r="G118" s="219">
        <v>56</v>
      </c>
      <c r="H118" s="219">
        <v>66</v>
      </c>
      <c r="I118" s="219">
        <v>89</v>
      </c>
      <c r="J118" s="219">
        <v>118</v>
      </c>
      <c r="K118" s="219">
        <v>161</v>
      </c>
      <c r="L118" s="219">
        <v>173</v>
      </c>
      <c r="M118" s="219">
        <v>177</v>
      </c>
      <c r="N118" s="219">
        <v>1475</v>
      </c>
    </row>
    <row r="119" spans="1:14" x14ac:dyDescent="0.2">
      <c r="A119" t="s">
        <v>1106</v>
      </c>
      <c r="B119" s="219">
        <v>249.88589999999999</v>
      </c>
      <c r="C119" s="219">
        <v>199.88589999999999</v>
      </c>
      <c r="D119" s="219">
        <v>173.6644</v>
      </c>
      <c r="E119" s="219">
        <v>113.6644</v>
      </c>
      <c r="F119" s="219">
        <v>77.442949999999996</v>
      </c>
      <c r="G119" s="219">
        <v>58.832210000000003</v>
      </c>
      <c r="H119" s="219">
        <v>71.442949999999996</v>
      </c>
      <c r="I119" s="219">
        <v>95.664429999999996</v>
      </c>
      <c r="J119" s="219">
        <v>129.6644</v>
      </c>
      <c r="K119" s="219">
        <v>184.88589999999999</v>
      </c>
      <c r="L119" s="219">
        <v>226.4966</v>
      </c>
      <c r="M119" s="219">
        <v>254.10740000000001</v>
      </c>
      <c r="N119" s="219">
        <v>1835.63744</v>
      </c>
    </row>
    <row r="120" spans="1:14" x14ac:dyDescent="0.2">
      <c r="A120" t="s">
        <v>1107</v>
      </c>
      <c r="B120" s="219">
        <v>205</v>
      </c>
      <c r="C120" s="219">
        <v>158</v>
      </c>
      <c r="D120" s="219">
        <v>142</v>
      </c>
      <c r="E120" s="219">
        <v>94</v>
      </c>
      <c r="F120" s="219">
        <v>66</v>
      </c>
      <c r="G120" s="219">
        <v>51</v>
      </c>
      <c r="H120" s="219">
        <v>61</v>
      </c>
      <c r="I120" s="219">
        <v>86</v>
      </c>
      <c r="J120" s="219">
        <v>117</v>
      </c>
      <c r="K120" s="219">
        <v>154</v>
      </c>
      <c r="L120" s="219">
        <v>186</v>
      </c>
      <c r="M120" s="219">
        <v>205</v>
      </c>
      <c r="N120" s="219">
        <v>1525</v>
      </c>
    </row>
    <row r="121" spans="1:14" x14ac:dyDescent="0.2">
      <c r="A121" t="s">
        <v>1108</v>
      </c>
      <c r="B121" s="219">
        <v>214.49279999999999</v>
      </c>
      <c r="C121" s="219">
        <v>169.49279999999999</v>
      </c>
      <c r="D121" s="219">
        <v>148.49279999999999</v>
      </c>
      <c r="E121" s="219">
        <v>96</v>
      </c>
      <c r="F121" s="219">
        <v>63</v>
      </c>
      <c r="G121" s="219">
        <v>46</v>
      </c>
      <c r="H121" s="219">
        <v>57.746400000000001</v>
      </c>
      <c r="I121" s="219">
        <v>80</v>
      </c>
      <c r="J121" s="219">
        <v>113</v>
      </c>
      <c r="K121" s="219">
        <v>156.25360000000001</v>
      </c>
      <c r="L121" s="219">
        <v>191.74639999999999</v>
      </c>
      <c r="M121" s="219">
        <v>212.74639999999999</v>
      </c>
      <c r="N121" s="219">
        <v>1548.9712</v>
      </c>
    </row>
    <row r="122" spans="1:14" x14ac:dyDescent="0.2">
      <c r="A122" t="s">
        <v>1109</v>
      </c>
      <c r="B122" s="219">
        <v>253</v>
      </c>
      <c r="C122" s="219">
        <v>203</v>
      </c>
      <c r="D122" s="219">
        <v>176</v>
      </c>
      <c r="E122" s="219">
        <v>116</v>
      </c>
      <c r="F122" s="219">
        <v>79</v>
      </c>
      <c r="G122" s="219">
        <v>60</v>
      </c>
      <c r="H122" s="219">
        <v>73</v>
      </c>
      <c r="I122" s="219">
        <v>98</v>
      </c>
      <c r="J122" s="219">
        <v>132</v>
      </c>
      <c r="K122" s="219">
        <v>188</v>
      </c>
      <c r="L122" s="219">
        <v>230</v>
      </c>
      <c r="M122" s="219">
        <v>258</v>
      </c>
      <c r="N122" s="219">
        <v>1866</v>
      </c>
    </row>
    <row r="123" spans="1:14" x14ac:dyDescent="0.2">
      <c r="A123" t="s">
        <v>1110</v>
      </c>
      <c r="B123" s="219">
        <v>253</v>
      </c>
      <c r="C123" s="219">
        <v>203</v>
      </c>
      <c r="D123" s="219">
        <v>176</v>
      </c>
      <c r="E123" s="219">
        <v>116</v>
      </c>
      <c r="F123" s="219">
        <v>79</v>
      </c>
      <c r="G123" s="219">
        <v>60</v>
      </c>
      <c r="H123" s="219">
        <v>73</v>
      </c>
      <c r="I123" s="219">
        <v>98</v>
      </c>
      <c r="J123" s="219">
        <v>132</v>
      </c>
      <c r="K123" s="219">
        <v>188</v>
      </c>
      <c r="L123" s="219">
        <v>230</v>
      </c>
      <c r="M123" s="219">
        <v>258</v>
      </c>
      <c r="N123" s="219">
        <v>1866</v>
      </c>
    </row>
    <row r="124" spans="1:14" x14ac:dyDescent="0.2">
      <c r="A124" t="s">
        <v>1111</v>
      </c>
      <c r="B124" s="219">
        <v>236.47559999999999</v>
      </c>
      <c r="C124" s="219">
        <v>199.63759999999999</v>
      </c>
      <c r="D124" s="219">
        <v>179.86770000000001</v>
      </c>
      <c r="E124" s="219">
        <v>134.1104</v>
      </c>
      <c r="F124" s="219">
        <v>108.18519999999999</v>
      </c>
      <c r="G124" s="219">
        <v>90.092160000000007</v>
      </c>
      <c r="H124" s="219">
        <v>104.14100000000001</v>
      </c>
      <c r="I124" s="219">
        <v>125.9016</v>
      </c>
      <c r="J124" s="219">
        <v>158.55789999999999</v>
      </c>
      <c r="K124" s="219">
        <v>210.25800000000001</v>
      </c>
      <c r="L124" s="219">
        <v>226.12649999999999</v>
      </c>
      <c r="M124" s="219">
        <v>250.6994</v>
      </c>
      <c r="N124" s="219">
        <v>2024.0530600000002</v>
      </c>
    </row>
    <row r="125" spans="1:14" x14ac:dyDescent="0.2">
      <c r="A125" t="s">
        <v>1112</v>
      </c>
      <c r="B125" s="219">
        <v>203.55359999999999</v>
      </c>
      <c r="C125" s="219">
        <v>160.46369999999999</v>
      </c>
      <c r="D125" s="219">
        <v>142.46209999999999</v>
      </c>
      <c r="E125" s="219">
        <v>96.559610000000006</v>
      </c>
      <c r="F125" s="219">
        <v>70.322329999999994</v>
      </c>
      <c r="G125" s="219">
        <v>54.942659999999997</v>
      </c>
      <c r="H125" s="219">
        <v>63.882089999999998</v>
      </c>
      <c r="I125" s="219">
        <v>87.295540000000003</v>
      </c>
      <c r="J125" s="219">
        <v>115.53279999999999</v>
      </c>
      <c r="K125" s="219">
        <v>155.95060000000001</v>
      </c>
      <c r="L125" s="219">
        <v>185.92590000000001</v>
      </c>
      <c r="M125" s="219">
        <v>205.62860000000001</v>
      </c>
      <c r="N125" s="219">
        <v>1542.5195299999998</v>
      </c>
    </row>
    <row r="126" spans="1:14" x14ac:dyDescent="0.2">
      <c r="A126" t="s">
        <v>1113</v>
      </c>
      <c r="B126" s="219">
        <v>252.9299</v>
      </c>
      <c r="C126" s="219">
        <v>202.9299</v>
      </c>
      <c r="D126" s="219">
        <v>175.94739999999999</v>
      </c>
      <c r="E126" s="219">
        <v>115.9474</v>
      </c>
      <c r="F126" s="219">
        <v>78.964950000000002</v>
      </c>
      <c r="G126" s="219">
        <v>59.973709999999997</v>
      </c>
      <c r="H126" s="219">
        <v>72.964950000000002</v>
      </c>
      <c r="I126" s="219">
        <v>97.947429999999997</v>
      </c>
      <c r="J126" s="219">
        <v>131.94739999999999</v>
      </c>
      <c r="K126" s="219">
        <v>187.9299</v>
      </c>
      <c r="L126" s="219">
        <v>229.9211</v>
      </c>
      <c r="M126" s="219">
        <v>257.91239999999999</v>
      </c>
      <c r="N126" s="219">
        <v>1865.3164400000001</v>
      </c>
    </row>
    <row r="127" spans="1:14" x14ac:dyDescent="0.2">
      <c r="A127" t="s">
        <v>1114</v>
      </c>
      <c r="B127" s="219">
        <v>253</v>
      </c>
      <c r="C127" s="219">
        <v>203</v>
      </c>
      <c r="D127" s="219">
        <v>176</v>
      </c>
      <c r="E127" s="219">
        <v>116</v>
      </c>
      <c r="F127" s="219">
        <v>79</v>
      </c>
      <c r="G127" s="219">
        <v>60</v>
      </c>
      <c r="H127" s="219">
        <v>73</v>
      </c>
      <c r="I127" s="219">
        <v>98</v>
      </c>
      <c r="J127" s="219">
        <v>132</v>
      </c>
      <c r="K127" s="219">
        <v>188</v>
      </c>
      <c r="L127" s="219">
        <v>230</v>
      </c>
      <c r="M127" s="219">
        <v>258</v>
      </c>
      <c r="N127" s="219">
        <v>1866</v>
      </c>
    </row>
    <row r="128" spans="1:14" x14ac:dyDescent="0.2">
      <c r="A128" t="s">
        <v>1115</v>
      </c>
      <c r="B128" s="219">
        <v>213.71639999999999</v>
      </c>
      <c r="C128" s="219">
        <v>179.9177</v>
      </c>
      <c r="D128" s="219">
        <v>163.58170000000001</v>
      </c>
      <c r="E128" s="219">
        <v>119.7837</v>
      </c>
      <c r="F128" s="219">
        <v>95.210139999999996</v>
      </c>
      <c r="G128" s="219">
        <v>79.394409999999993</v>
      </c>
      <c r="H128" s="219">
        <v>92.581680000000006</v>
      </c>
      <c r="I128" s="219">
        <v>112.2983</v>
      </c>
      <c r="J128" s="219">
        <v>141.8783</v>
      </c>
      <c r="K128" s="219">
        <v>189.2199</v>
      </c>
      <c r="L128" s="219">
        <v>201.68090000000001</v>
      </c>
      <c r="M128" s="219">
        <v>224.72380000000001</v>
      </c>
      <c r="N128" s="219">
        <v>1813.98693</v>
      </c>
    </row>
    <row r="129" spans="1:14" x14ac:dyDescent="0.2">
      <c r="A129" t="s">
        <v>1116</v>
      </c>
      <c r="B129" s="219">
        <v>191.51230000000001</v>
      </c>
      <c r="C129" s="219">
        <v>160.8947</v>
      </c>
      <c r="D129" s="219">
        <v>121.9764</v>
      </c>
      <c r="E129" s="219">
        <v>78.435770000000005</v>
      </c>
      <c r="F129" s="219">
        <v>49.632480000000001</v>
      </c>
      <c r="G129" s="219">
        <v>36.216940000000001</v>
      </c>
      <c r="H129" s="219">
        <v>42.807189999999999</v>
      </c>
      <c r="I129" s="219">
        <v>65.210160000000002</v>
      </c>
      <c r="J129" s="219">
        <v>93.079480000000004</v>
      </c>
      <c r="K129" s="219">
        <v>128.93520000000001</v>
      </c>
      <c r="L129" s="219">
        <v>154.4622</v>
      </c>
      <c r="M129" s="219">
        <v>185.31700000000001</v>
      </c>
      <c r="N129" s="219">
        <v>1308.47982</v>
      </c>
    </row>
    <row r="130" spans="1:14" x14ac:dyDescent="0.2">
      <c r="A130" t="s">
        <v>1117</v>
      </c>
      <c r="B130" s="219">
        <v>190.6242</v>
      </c>
      <c r="C130" s="219">
        <v>158.88720000000001</v>
      </c>
      <c r="D130" s="219">
        <v>126.5968</v>
      </c>
      <c r="E130" s="219">
        <v>81.72099</v>
      </c>
      <c r="F130" s="219">
        <v>51.131869999999999</v>
      </c>
      <c r="G130" s="219">
        <v>40.652389999999997</v>
      </c>
      <c r="H130" s="219">
        <v>43.89235</v>
      </c>
      <c r="I130" s="219">
        <v>64.282129999999995</v>
      </c>
      <c r="J130" s="219">
        <v>88.440659999999994</v>
      </c>
      <c r="K130" s="219">
        <v>133.102</v>
      </c>
      <c r="L130" s="219">
        <v>163.50559999999999</v>
      </c>
      <c r="M130" s="219">
        <v>189.42320000000001</v>
      </c>
      <c r="N130" s="219">
        <v>1332.2593899999999</v>
      </c>
    </row>
    <row r="131" spans="1:14" x14ac:dyDescent="0.2">
      <c r="A131" t="s">
        <v>1118</v>
      </c>
      <c r="B131" s="219">
        <v>192.20859999999999</v>
      </c>
      <c r="C131" s="219">
        <v>156.8742</v>
      </c>
      <c r="D131" s="219">
        <v>122.371</v>
      </c>
      <c r="E131" s="219">
        <v>71.815749999999994</v>
      </c>
      <c r="F131" s="219">
        <v>42.750169999999997</v>
      </c>
      <c r="G131" s="219">
        <v>32.586550000000003</v>
      </c>
      <c r="H131" s="219">
        <v>36.106529999999999</v>
      </c>
      <c r="I131" s="219">
        <v>60.776629999999997</v>
      </c>
      <c r="J131" s="219">
        <v>100.44929999999999</v>
      </c>
      <c r="K131" s="219">
        <v>145.23169999999999</v>
      </c>
      <c r="L131" s="219">
        <v>174.7869</v>
      </c>
      <c r="M131" s="219">
        <v>192.10140000000001</v>
      </c>
      <c r="N131" s="219">
        <v>1328.05873</v>
      </c>
    </row>
    <row r="132" spans="1:14" x14ac:dyDescent="0.2">
      <c r="A132" t="s">
        <v>1130</v>
      </c>
      <c r="B132" s="219">
        <v>171.31710000000001</v>
      </c>
      <c r="C132" s="219">
        <v>118.17</v>
      </c>
      <c r="D132" s="219">
        <v>95.918120000000002</v>
      </c>
      <c r="E132" s="219">
        <v>50.262079999999997</v>
      </c>
      <c r="F132" s="219">
        <v>26.119859999999999</v>
      </c>
      <c r="G132" s="219">
        <v>14.832369999999999</v>
      </c>
      <c r="H132" s="219">
        <v>18.989180000000001</v>
      </c>
      <c r="I132" s="219">
        <v>31.360749999999999</v>
      </c>
      <c r="J132" s="219">
        <v>74.096819999999994</v>
      </c>
      <c r="K132" s="219">
        <v>111.7336</v>
      </c>
      <c r="L132" s="219">
        <v>165.0966</v>
      </c>
      <c r="M132" s="219">
        <v>176.6388</v>
      </c>
      <c r="N132" s="219">
        <v>1054.5352800000001</v>
      </c>
    </row>
    <row r="133" spans="1:14" x14ac:dyDescent="0.2">
      <c r="A133" t="s">
        <v>0</v>
      </c>
      <c r="B133" s="219">
        <v>214.1429</v>
      </c>
      <c r="C133" s="219">
        <v>163.1704</v>
      </c>
      <c r="D133" s="219">
        <v>143.11340000000001</v>
      </c>
      <c r="E133" s="219">
        <v>93.513270000000006</v>
      </c>
      <c r="F133" s="219">
        <v>54.874870000000001</v>
      </c>
      <c r="G133" s="219">
        <v>42.786189999999998</v>
      </c>
      <c r="H133" s="219">
        <v>47.268059999999998</v>
      </c>
      <c r="I133" s="219">
        <v>72.936019999999999</v>
      </c>
      <c r="J133" s="219">
        <v>108.2681</v>
      </c>
      <c r="K133" s="219">
        <v>157.99510000000001</v>
      </c>
      <c r="L133" s="219">
        <v>185.05430000000001</v>
      </c>
      <c r="M133" s="219">
        <v>207.11340000000001</v>
      </c>
      <c r="N133" s="219">
        <v>1490.2360100000001</v>
      </c>
    </row>
    <row r="134" spans="1:14" x14ac:dyDescent="0.2">
      <c r="A134" t="s">
        <v>1</v>
      </c>
      <c r="B134" s="219">
        <v>250.79839999999999</v>
      </c>
      <c r="C134" s="219">
        <v>199.97059999999999</v>
      </c>
      <c r="D134" s="219">
        <v>174.97399999999999</v>
      </c>
      <c r="E134" s="219">
        <v>114.98260000000001</v>
      </c>
      <c r="F134" s="219">
        <v>78.323480000000004</v>
      </c>
      <c r="G134" s="219">
        <v>60.323480000000004</v>
      </c>
      <c r="H134" s="219">
        <v>73.156499999999994</v>
      </c>
      <c r="I134" s="219">
        <v>96.154780000000002</v>
      </c>
      <c r="J134" s="219">
        <v>131.81389999999999</v>
      </c>
      <c r="K134" s="219">
        <v>184.97399999999999</v>
      </c>
      <c r="L134" s="219">
        <v>226.80189999999999</v>
      </c>
      <c r="M134" s="219">
        <v>253.79839999999999</v>
      </c>
      <c r="N134" s="219">
        <v>1846.07204</v>
      </c>
    </row>
    <row r="135" spans="1:14" x14ac:dyDescent="0.2">
      <c r="A135" t="s">
        <v>2</v>
      </c>
      <c r="B135" s="219">
        <v>192.25530000000001</v>
      </c>
      <c r="C135" s="219">
        <v>161.25579999999999</v>
      </c>
      <c r="D135" s="219">
        <v>128.76490000000001</v>
      </c>
      <c r="E135" s="219">
        <v>80.882720000000006</v>
      </c>
      <c r="F135" s="219">
        <v>51.256329999999998</v>
      </c>
      <c r="G135" s="219">
        <v>39.253799999999998</v>
      </c>
      <c r="H135" s="219">
        <v>44.255319999999998</v>
      </c>
      <c r="I135" s="219">
        <v>67.255319999999998</v>
      </c>
      <c r="J135" s="219">
        <v>95.509119999999996</v>
      </c>
      <c r="K135" s="219">
        <v>134.50960000000001</v>
      </c>
      <c r="L135" s="219">
        <v>159.5076</v>
      </c>
      <c r="M135" s="219">
        <v>188.999</v>
      </c>
      <c r="N135" s="219">
        <v>1343.70481</v>
      </c>
    </row>
    <row r="136" spans="1:14" x14ac:dyDescent="0.2">
      <c r="A136" t="s">
        <v>12</v>
      </c>
      <c r="B136" s="219">
        <v>215</v>
      </c>
      <c r="C136" s="219">
        <v>170.4939</v>
      </c>
      <c r="D136" s="219">
        <v>148.5061</v>
      </c>
      <c r="E136" s="219">
        <v>96</v>
      </c>
      <c r="F136" s="219">
        <v>63</v>
      </c>
      <c r="G136" s="219">
        <v>46.493929999999999</v>
      </c>
      <c r="H136" s="219">
        <v>58.493929999999999</v>
      </c>
      <c r="I136" s="219">
        <v>80</v>
      </c>
      <c r="J136" s="219">
        <v>112.0121</v>
      </c>
      <c r="K136" s="219">
        <v>156</v>
      </c>
      <c r="L136" s="219">
        <v>192</v>
      </c>
      <c r="M136" s="219">
        <v>213.4939</v>
      </c>
      <c r="N136" s="219">
        <v>1551.49386</v>
      </c>
    </row>
    <row r="137" spans="1:14" x14ac:dyDescent="0.2">
      <c r="A137" t="s">
        <v>13</v>
      </c>
      <c r="B137" s="219">
        <v>253</v>
      </c>
      <c r="C137" s="219">
        <v>203</v>
      </c>
      <c r="D137" s="219">
        <v>176</v>
      </c>
      <c r="E137" s="219">
        <v>116</v>
      </c>
      <c r="F137" s="219">
        <v>79</v>
      </c>
      <c r="G137" s="219">
        <v>60</v>
      </c>
      <c r="H137" s="219">
        <v>73</v>
      </c>
      <c r="I137" s="219">
        <v>98</v>
      </c>
      <c r="J137" s="219">
        <v>132</v>
      </c>
      <c r="K137" s="219">
        <v>188</v>
      </c>
      <c r="L137" s="219">
        <v>230</v>
      </c>
      <c r="M137" s="219">
        <v>258</v>
      </c>
      <c r="N137" s="219">
        <v>1866</v>
      </c>
    </row>
    <row r="138" spans="1:14" x14ac:dyDescent="0.2">
      <c r="A138" t="s">
        <v>14</v>
      </c>
      <c r="B138" s="219">
        <v>206.00319999999999</v>
      </c>
      <c r="C138" s="219">
        <v>173.13390000000001</v>
      </c>
      <c r="D138" s="219">
        <v>144.018</v>
      </c>
      <c r="E138" s="219">
        <v>89.876729999999995</v>
      </c>
      <c r="F138" s="219">
        <v>57.344090000000001</v>
      </c>
      <c r="G138" s="219">
        <v>42.26811</v>
      </c>
      <c r="H138" s="219">
        <v>48.470999999999997</v>
      </c>
      <c r="I138" s="219">
        <v>72.470960000000005</v>
      </c>
      <c r="J138" s="219">
        <v>102.6738</v>
      </c>
      <c r="K138" s="219">
        <v>150.31139999999999</v>
      </c>
      <c r="L138" s="219">
        <v>171.09379999999999</v>
      </c>
      <c r="M138" s="219">
        <v>198.29679999999999</v>
      </c>
      <c r="N138" s="219">
        <v>1455.9617900000003</v>
      </c>
    </row>
    <row r="139" spans="1:14" x14ac:dyDescent="0.2">
      <c r="A139" t="s">
        <v>15</v>
      </c>
      <c r="B139" s="219">
        <v>200.11940000000001</v>
      </c>
      <c r="C139" s="219">
        <v>154.33029999999999</v>
      </c>
      <c r="D139" s="219">
        <v>136.04470000000001</v>
      </c>
      <c r="E139" s="219">
        <v>88.769900000000007</v>
      </c>
      <c r="F139" s="219">
        <v>53.018949999999997</v>
      </c>
      <c r="G139" s="219">
        <v>40.831319999999998</v>
      </c>
      <c r="H139" s="219">
        <v>44.831319999999998</v>
      </c>
      <c r="I139" s="219">
        <v>68.74212</v>
      </c>
      <c r="J139" s="219">
        <v>101.9575</v>
      </c>
      <c r="K139" s="219">
        <v>146.4606</v>
      </c>
      <c r="L139" s="219">
        <v>171.792</v>
      </c>
      <c r="M139" s="219">
        <v>193.72649999999999</v>
      </c>
      <c r="N139" s="219">
        <v>1400.6246100000001</v>
      </c>
    </row>
    <row r="140" spans="1:14" x14ac:dyDescent="0.2">
      <c r="A140" t="s">
        <v>16</v>
      </c>
      <c r="B140" s="219">
        <v>214.18770000000001</v>
      </c>
      <c r="C140" s="219">
        <v>171.2593</v>
      </c>
      <c r="D140" s="219">
        <v>148.99770000000001</v>
      </c>
      <c r="E140" s="219">
        <v>95.768479999999997</v>
      </c>
      <c r="F140" s="219">
        <v>59.506869999999999</v>
      </c>
      <c r="G140" s="219">
        <v>42.226860000000002</v>
      </c>
      <c r="H140" s="219">
        <v>53.511539999999997</v>
      </c>
      <c r="I140" s="219">
        <v>76.782219999999995</v>
      </c>
      <c r="J140" s="219">
        <v>111</v>
      </c>
      <c r="K140" s="219">
        <v>155.4838</v>
      </c>
      <c r="L140" s="219">
        <v>190.22919999999999</v>
      </c>
      <c r="M140" s="219">
        <v>211.71770000000001</v>
      </c>
      <c r="N140" s="219">
        <v>1530.6713699999998</v>
      </c>
    </row>
    <row r="141" spans="1:14" x14ac:dyDescent="0.2">
      <c r="A141" t="s">
        <v>17</v>
      </c>
      <c r="B141" s="219">
        <v>215.98070000000001</v>
      </c>
      <c r="C141" s="219">
        <v>169.8792</v>
      </c>
      <c r="D141" s="219">
        <v>149.63990000000001</v>
      </c>
      <c r="E141" s="219">
        <v>99.307469999999995</v>
      </c>
      <c r="F141" s="219">
        <v>69.212879999999998</v>
      </c>
      <c r="G141" s="219">
        <v>53.12941</v>
      </c>
      <c r="H141" s="219">
        <v>64.276849999999996</v>
      </c>
      <c r="I141" s="219">
        <v>87.193380000000005</v>
      </c>
      <c r="J141" s="219">
        <v>117.5856</v>
      </c>
      <c r="K141" s="219">
        <v>161.21019999999999</v>
      </c>
      <c r="L141" s="219">
        <v>195.76929999999999</v>
      </c>
      <c r="M141" s="219">
        <v>217.93629999999999</v>
      </c>
      <c r="N141" s="219">
        <v>1601.1211900000001</v>
      </c>
    </row>
    <row r="142" spans="1:14" x14ac:dyDescent="0.2">
      <c r="A142" t="s">
        <v>18</v>
      </c>
      <c r="B142" s="219">
        <v>224.00909999999999</v>
      </c>
      <c r="C142" s="219">
        <v>181.738</v>
      </c>
      <c r="D142" s="219">
        <v>154.8526</v>
      </c>
      <c r="E142" s="219">
        <v>98.362480000000005</v>
      </c>
      <c r="F142" s="219">
        <v>60.842379999999999</v>
      </c>
      <c r="G142" s="219">
        <v>42.57714</v>
      </c>
      <c r="H142" s="219">
        <v>51.956960000000002</v>
      </c>
      <c r="I142" s="219">
        <v>76.038349999999994</v>
      </c>
      <c r="J142" s="219">
        <v>110.1764</v>
      </c>
      <c r="K142" s="219">
        <v>157.4965</v>
      </c>
      <c r="L142" s="219">
        <v>190.3408</v>
      </c>
      <c r="M142" s="219">
        <v>215.1044</v>
      </c>
      <c r="N142" s="219">
        <v>1563.4951099999998</v>
      </c>
    </row>
    <row r="143" spans="1:14" x14ac:dyDescent="0.2">
      <c r="A143" t="s">
        <v>19</v>
      </c>
      <c r="B143" s="219">
        <v>213.23840000000001</v>
      </c>
      <c r="C143" s="219">
        <v>168.29679999999999</v>
      </c>
      <c r="D143" s="219">
        <v>147.36660000000001</v>
      </c>
      <c r="E143" s="219">
        <v>95.877279999999999</v>
      </c>
      <c r="F143" s="219">
        <v>62.98151</v>
      </c>
      <c r="G143" s="219">
        <v>46.049869999999999</v>
      </c>
      <c r="H143" s="219">
        <v>57.315060000000003</v>
      </c>
      <c r="I143" s="219">
        <v>80.022549999999995</v>
      </c>
      <c r="J143" s="219">
        <v>112.93940000000001</v>
      </c>
      <c r="K143" s="219">
        <v>156.5489</v>
      </c>
      <c r="L143" s="219">
        <v>191.0393</v>
      </c>
      <c r="M143" s="219">
        <v>211.9983</v>
      </c>
      <c r="N143" s="219">
        <v>1543.6739700000001</v>
      </c>
    </row>
    <row r="144" spans="1:14" x14ac:dyDescent="0.2">
      <c r="A144" t="s">
        <v>20</v>
      </c>
      <c r="B144" s="219">
        <v>253.1979</v>
      </c>
      <c r="C144" s="219">
        <v>201.73509999999999</v>
      </c>
      <c r="D144" s="219">
        <v>176.80959999999999</v>
      </c>
      <c r="E144" s="219">
        <v>117.2064</v>
      </c>
      <c r="F144" s="219">
        <v>82.065969999999993</v>
      </c>
      <c r="G144" s="219">
        <v>62.603200000000001</v>
      </c>
      <c r="H144" s="219">
        <v>76.173419999999993</v>
      </c>
      <c r="I144" s="219">
        <v>102.066</v>
      </c>
      <c r="J144" s="219">
        <v>137.52869999999999</v>
      </c>
      <c r="K144" s="219">
        <v>189.7022</v>
      </c>
      <c r="L144" s="219">
        <v>229.73509999999999</v>
      </c>
      <c r="M144" s="219">
        <v>256.7681</v>
      </c>
      <c r="N144" s="219">
        <v>1885.59169</v>
      </c>
    </row>
    <row r="145" spans="1:14" x14ac:dyDescent="0.2">
      <c r="A145" t="s">
        <v>21</v>
      </c>
      <c r="B145" s="219">
        <v>177.88339999999999</v>
      </c>
      <c r="C145" s="219">
        <v>152</v>
      </c>
      <c r="D145" s="219">
        <v>111.11660000000001</v>
      </c>
      <c r="E145" s="219">
        <v>72</v>
      </c>
      <c r="F145" s="219">
        <v>45</v>
      </c>
      <c r="G145" s="219">
        <v>32</v>
      </c>
      <c r="H145" s="219">
        <v>39</v>
      </c>
      <c r="I145" s="219">
        <v>60</v>
      </c>
      <c r="J145" s="219">
        <v>88</v>
      </c>
      <c r="K145" s="219">
        <v>119.11660000000001</v>
      </c>
      <c r="L145" s="219">
        <v>141.88339999999999</v>
      </c>
      <c r="M145" s="219">
        <v>171.11660000000001</v>
      </c>
      <c r="N145" s="219">
        <v>1209.1166000000001</v>
      </c>
    </row>
    <row r="146" spans="1:14" x14ac:dyDescent="0.2">
      <c r="A146" t="s">
        <v>22</v>
      </c>
      <c r="B146" s="219">
        <v>235.5351</v>
      </c>
      <c r="C146" s="219">
        <v>201.13800000000001</v>
      </c>
      <c r="D146" s="219">
        <v>169.30029999999999</v>
      </c>
      <c r="E146" s="219">
        <v>116.4331</v>
      </c>
      <c r="F146" s="219">
        <v>85.31832</v>
      </c>
      <c r="G146" s="219">
        <v>59.61833</v>
      </c>
      <c r="H146" s="219">
        <v>72.811000000000007</v>
      </c>
      <c r="I146" s="219">
        <v>91.095299999999995</v>
      </c>
      <c r="J146" s="219">
        <v>122.0458</v>
      </c>
      <c r="K146" s="219">
        <v>165.3545</v>
      </c>
      <c r="L146" s="219">
        <v>200.59819999999999</v>
      </c>
      <c r="M146" s="219">
        <v>232.9359</v>
      </c>
      <c r="N146" s="219">
        <v>1752.1838499999999</v>
      </c>
    </row>
    <row r="147" spans="1:14" x14ac:dyDescent="0.2">
      <c r="A147" t="s">
        <v>989</v>
      </c>
      <c r="B147" s="219">
        <v>245</v>
      </c>
      <c r="C147" s="219">
        <v>195</v>
      </c>
      <c r="D147" s="219">
        <v>170</v>
      </c>
      <c r="E147" s="219">
        <v>110</v>
      </c>
      <c r="F147" s="219">
        <v>75</v>
      </c>
      <c r="G147" s="219">
        <v>57</v>
      </c>
      <c r="H147" s="219">
        <v>69</v>
      </c>
      <c r="I147" s="219">
        <v>92</v>
      </c>
      <c r="J147" s="219">
        <v>126</v>
      </c>
      <c r="K147" s="219">
        <v>180</v>
      </c>
      <c r="L147" s="219">
        <v>221</v>
      </c>
      <c r="M147" s="219">
        <v>248</v>
      </c>
      <c r="N147" s="219">
        <v>1788</v>
      </c>
    </row>
    <row r="148" spans="1:14" x14ac:dyDescent="0.2">
      <c r="A148" t="s">
        <v>23</v>
      </c>
      <c r="B148" s="219">
        <v>245</v>
      </c>
      <c r="C148" s="219">
        <v>195</v>
      </c>
      <c r="D148" s="219">
        <v>170</v>
      </c>
      <c r="E148" s="219">
        <v>110</v>
      </c>
      <c r="F148" s="219">
        <v>75</v>
      </c>
      <c r="G148" s="219">
        <v>57</v>
      </c>
      <c r="H148" s="219">
        <v>69</v>
      </c>
      <c r="I148" s="219">
        <v>92</v>
      </c>
      <c r="J148" s="219">
        <v>126</v>
      </c>
      <c r="K148" s="219">
        <v>180</v>
      </c>
      <c r="L148" s="219">
        <v>221</v>
      </c>
      <c r="M148" s="219">
        <v>248</v>
      </c>
      <c r="N148" s="219">
        <v>1788</v>
      </c>
    </row>
    <row r="149" spans="1:14" x14ac:dyDescent="0.2">
      <c r="A149" t="s">
        <v>24</v>
      </c>
      <c r="B149" s="219">
        <v>219.04599999999999</v>
      </c>
      <c r="C149" s="219">
        <v>177.49959999999999</v>
      </c>
      <c r="D149" s="219">
        <v>152.54640000000001</v>
      </c>
      <c r="E149" s="219">
        <v>96.546440000000004</v>
      </c>
      <c r="F149" s="219">
        <v>58.546439999999997</v>
      </c>
      <c r="G149" s="219">
        <v>40.546439999999997</v>
      </c>
      <c r="H149" s="219">
        <v>53.09198</v>
      </c>
      <c r="I149" s="219">
        <v>76.000900000000001</v>
      </c>
      <c r="J149" s="219">
        <v>110.54640000000001</v>
      </c>
      <c r="K149" s="219">
        <v>155.04689999999999</v>
      </c>
      <c r="L149" s="219">
        <v>192.50040000000001</v>
      </c>
      <c r="M149" s="219">
        <v>214.54640000000001</v>
      </c>
      <c r="N149" s="219">
        <v>1546.4642999999999</v>
      </c>
    </row>
    <row r="150" spans="1:14" x14ac:dyDescent="0.2">
      <c r="A150" t="s">
        <v>25</v>
      </c>
      <c r="B150" s="219">
        <v>195.8485</v>
      </c>
      <c r="C150" s="219">
        <v>164.8536</v>
      </c>
      <c r="D150" s="219">
        <v>132.8338</v>
      </c>
      <c r="E150" s="219">
        <v>82.517309999999995</v>
      </c>
      <c r="F150" s="219">
        <v>52.580640000000002</v>
      </c>
      <c r="G150" s="219">
        <v>39.213990000000003</v>
      </c>
      <c r="H150" s="219">
        <v>44.89987</v>
      </c>
      <c r="I150" s="219">
        <v>68.168289999999999</v>
      </c>
      <c r="J150" s="219">
        <v>96.918130000000005</v>
      </c>
      <c r="K150" s="219">
        <v>135.38740000000001</v>
      </c>
      <c r="L150" s="219">
        <v>159.83009999999999</v>
      </c>
      <c r="M150" s="219">
        <v>190.1952</v>
      </c>
      <c r="N150" s="219">
        <v>1363.2468299999996</v>
      </c>
    </row>
    <row r="151" spans="1:14" x14ac:dyDescent="0.2">
      <c r="A151" t="s">
        <v>26</v>
      </c>
      <c r="B151" s="219">
        <v>222.94</v>
      </c>
      <c r="C151" s="219">
        <v>181.54159999999999</v>
      </c>
      <c r="D151" s="219">
        <v>153.95509999999999</v>
      </c>
      <c r="E151" s="219">
        <v>98.424959999999999</v>
      </c>
      <c r="F151" s="219">
        <v>60.779170000000001</v>
      </c>
      <c r="G151" s="219">
        <v>42.337290000000003</v>
      </c>
      <c r="H151" s="219">
        <v>51.166710000000002</v>
      </c>
      <c r="I151" s="219">
        <v>74.212100000000007</v>
      </c>
      <c r="J151" s="219">
        <v>108.3827</v>
      </c>
      <c r="K151" s="219">
        <v>155.7508</v>
      </c>
      <c r="L151" s="219">
        <v>186.84010000000001</v>
      </c>
      <c r="M151" s="219">
        <v>211.93299999999999</v>
      </c>
      <c r="N151" s="219">
        <v>1548.2635300000002</v>
      </c>
    </row>
    <row r="152" spans="1:14" x14ac:dyDescent="0.2">
      <c r="A152" t="s">
        <v>986</v>
      </c>
      <c r="B152" s="219">
        <v>240.84559999999999</v>
      </c>
      <c r="C152" s="219">
        <v>204.70259999999999</v>
      </c>
      <c r="D152" s="219">
        <v>163.50069999999999</v>
      </c>
      <c r="E152" s="219">
        <v>103.7582</v>
      </c>
      <c r="F152" s="219">
        <v>68.47551</v>
      </c>
      <c r="G152" s="219">
        <v>50.05162</v>
      </c>
      <c r="H152" s="219">
        <v>53.112540000000003</v>
      </c>
      <c r="I152" s="219">
        <v>76.9465</v>
      </c>
      <c r="J152" s="219">
        <v>104.244</v>
      </c>
      <c r="K152" s="219">
        <v>166.4975</v>
      </c>
      <c r="L152" s="219">
        <v>201.5855</v>
      </c>
      <c r="M152" s="219">
        <v>232.27699999999999</v>
      </c>
      <c r="N152" s="219">
        <v>1665.9972699999998</v>
      </c>
    </row>
    <row r="153" spans="1:14" x14ac:dyDescent="0.2">
      <c r="A153" t="s">
        <v>27</v>
      </c>
      <c r="B153" s="219">
        <v>204.36600000000001</v>
      </c>
      <c r="C153" s="219">
        <v>159.33449999999999</v>
      </c>
      <c r="D153" s="219">
        <v>138.53120000000001</v>
      </c>
      <c r="E153" s="219">
        <v>89.94641</v>
      </c>
      <c r="F153" s="219">
        <v>54.102550000000001</v>
      </c>
      <c r="G153" s="219">
        <v>41.433019999999999</v>
      </c>
      <c r="H153" s="219">
        <v>45.857129999999998</v>
      </c>
      <c r="I153" s="219">
        <v>69.620620000000002</v>
      </c>
      <c r="J153" s="219">
        <v>103.37050000000001</v>
      </c>
      <c r="K153" s="219">
        <v>149.26349999999999</v>
      </c>
      <c r="L153" s="219">
        <v>173.81710000000001</v>
      </c>
      <c r="M153" s="219">
        <v>197.17869999999999</v>
      </c>
      <c r="N153" s="219">
        <v>1426.82123</v>
      </c>
    </row>
    <row r="154" spans="1:14" x14ac:dyDescent="0.2">
      <c r="A154" t="s">
        <v>28</v>
      </c>
      <c r="B154" s="219">
        <v>222.5205</v>
      </c>
      <c r="C154" s="219">
        <v>192.03309999999999</v>
      </c>
      <c r="D154" s="219">
        <v>160.50559999999999</v>
      </c>
      <c r="E154" s="219">
        <v>114.99720000000001</v>
      </c>
      <c r="F154" s="219">
        <v>88.153989999999993</v>
      </c>
      <c r="G154" s="219">
        <v>61.234229999999997</v>
      </c>
      <c r="H154" s="219">
        <v>75.773139999999998</v>
      </c>
      <c r="I154" s="219">
        <v>93.487340000000003</v>
      </c>
      <c r="J154" s="219">
        <v>123.3883</v>
      </c>
      <c r="K154" s="219">
        <v>158.7473</v>
      </c>
      <c r="L154" s="219">
        <v>192.20519999999999</v>
      </c>
      <c r="M154" s="219">
        <v>223.0712</v>
      </c>
      <c r="N154" s="219">
        <v>1706.1171000000002</v>
      </c>
    </row>
    <row r="155" spans="1:14" x14ac:dyDescent="0.2">
      <c r="A155" t="s">
        <v>29</v>
      </c>
      <c r="B155" s="219">
        <v>214.63820000000001</v>
      </c>
      <c r="C155" s="219">
        <v>165.48269999999999</v>
      </c>
      <c r="D155" s="219">
        <v>144.35169999999999</v>
      </c>
      <c r="E155" s="219">
        <v>93.511099999999999</v>
      </c>
      <c r="F155" s="219">
        <v>55.421489999999999</v>
      </c>
      <c r="G155" s="219">
        <v>43.21537</v>
      </c>
      <c r="H155" s="219">
        <v>48.12576</v>
      </c>
      <c r="I155" s="219">
        <v>72.670950000000005</v>
      </c>
      <c r="J155" s="219">
        <v>108.7664</v>
      </c>
      <c r="K155" s="219">
        <v>158.42150000000001</v>
      </c>
      <c r="L155" s="219">
        <v>185.6223</v>
      </c>
      <c r="M155" s="219">
        <v>207.4426</v>
      </c>
      <c r="N155" s="219">
        <v>1497.6700699999999</v>
      </c>
    </row>
    <row r="156" spans="1:14" x14ac:dyDescent="0.2">
      <c r="A156" t="s">
        <v>30</v>
      </c>
      <c r="B156" s="219">
        <v>189.1498</v>
      </c>
      <c r="C156" s="219">
        <v>159.5137</v>
      </c>
      <c r="D156" s="219">
        <v>124.5689</v>
      </c>
      <c r="E156" s="219">
        <v>79.950749999999999</v>
      </c>
      <c r="F156" s="219">
        <v>50.488370000000003</v>
      </c>
      <c r="G156" s="219">
        <v>38.145209999999999</v>
      </c>
      <c r="H156" s="219">
        <v>43.18291</v>
      </c>
      <c r="I156" s="219">
        <v>65.332880000000003</v>
      </c>
      <c r="J156" s="219">
        <v>93.318799999999996</v>
      </c>
      <c r="K156" s="219">
        <v>131.7405</v>
      </c>
      <c r="L156" s="219">
        <v>155.47659999999999</v>
      </c>
      <c r="M156" s="219">
        <v>183.98519999999999</v>
      </c>
      <c r="N156" s="219">
        <v>1314.8536200000001</v>
      </c>
    </row>
    <row r="157" spans="1:14" x14ac:dyDescent="0.2">
      <c r="A157" t="s">
        <v>31</v>
      </c>
      <c r="B157" s="219">
        <v>185.2115</v>
      </c>
      <c r="C157" s="219">
        <v>158.67179999999999</v>
      </c>
      <c r="D157" s="219">
        <v>116.1242</v>
      </c>
      <c r="E157" s="219">
        <v>75.27901</v>
      </c>
      <c r="F157" s="219">
        <v>46.222569999999997</v>
      </c>
      <c r="G157" s="219">
        <v>32.144460000000002</v>
      </c>
      <c r="H157" s="219">
        <v>39.852269999999997</v>
      </c>
      <c r="I157" s="219">
        <v>62.85295</v>
      </c>
      <c r="J157" s="219">
        <v>90.513369999999995</v>
      </c>
      <c r="K157" s="219">
        <v>124.864</v>
      </c>
      <c r="L157" s="219">
        <v>148.4186</v>
      </c>
      <c r="M157" s="219">
        <v>180.19749999999999</v>
      </c>
      <c r="N157" s="219">
        <v>1260.35223</v>
      </c>
    </row>
    <row r="158" spans="1:14" x14ac:dyDescent="0.2">
      <c r="A158" t="s">
        <v>32</v>
      </c>
      <c r="B158" s="219">
        <v>208.5395</v>
      </c>
      <c r="C158" s="219">
        <v>169.78380000000001</v>
      </c>
      <c r="D158" s="219">
        <v>143.38249999999999</v>
      </c>
      <c r="E158" s="219">
        <v>90.010419999999996</v>
      </c>
      <c r="F158" s="219">
        <v>56.10163</v>
      </c>
      <c r="G158" s="219">
        <v>43.057290000000002</v>
      </c>
      <c r="H158" s="219">
        <v>47.802970000000002</v>
      </c>
      <c r="I158" s="219">
        <v>71.692099999999996</v>
      </c>
      <c r="J158" s="219">
        <v>105.12560000000001</v>
      </c>
      <c r="K158" s="219">
        <v>150.62379999999999</v>
      </c>
      <c r="L158" s="219">
        <v>175.93209999999999</v>
      </c>
      <c r="M158" s="219">
        <v>199.91249999999999</v>
      </c>
      <c r="N158" s="219">
        <v>1461.9642099999996</v>
      </c>
    </row>
    <row r="159" spans="1:14" x14ac:dyDescent="0.2">
      <c r="A159" t="s">
        <v>33</v>
      </c>
      <c r="B159" s="219">
        <v>210.59219999999999</v>
      </c>
      <c r="C159" s="219">
        <v>169.88290000000001</v>
      </c>
      <c r="D159" s="219">
        <v>150.17250000000001</v>
      </c>
      <c r="E159" s="219">
        <v>104.4141</v>
      </c>
      <c r="F159" s="219">
        <v>76.84845</v>
      </c>
      <c r="G159" s="219">
        <v>60.354089999999999</v>
      </c>
      <c r="H159" s="219">
        <v>70.506919999999994</v>
      </c>
      <c r="I159" s="219">
        <v>93.275599999999997</v>
      </c>
      <c r="J159" s="219">
        <v>122.3222</v>
      </c>
      <c r="K159" s="219">
        <v>165.6627</v>
      </c>
      <c r="L159" s="219">
        <v>194.75739999999999</v>
      </c>
      <c r="M159" s="219">
        <v>217.23849999999999</v>
      </c>
      <c r="N159" s="219">
        <v>1636.02756</v>
      </c>
    </row>
    <row r="160" spans="1:14" x14ac:dyDescent="0.2">
      <c r="A160" t="s">
        <v>34</v>
      </c>
      <c r="B160" s="219">
        <v>208</v>
      </c>
      <c r="C160" s="219">
        <v>158</v>
      </c>
      <c r="D160" s="219">
        <v>140</v>
      </c>
      <c r="E160" s="219">
        <v>91</v>
      </c>
      <c r="F160" s="219">
        <v>53</v>
      </c>
      <c r="G160" s="219">
        <v>42</v>
      </c>
      <c r="H160" s="219">
        <v>46</v>
      </c>
      <c r="I160" s="219">
        <v>71</v>
      </c>
      <c r="J160" s="219">
        <v>107</v>
      </c>
      <c r="K160" s="219">
        <v>154</v>
      </c>
      <c r="L160" s="219">
        <v>181</v>
      </c>
      <c r="M160" s="219">
        <v>203</v>
      </c>
      <c r="N160" s="219">
        <v>1454</v>
      </c>
    </row>
    <row r="161" spans="1:14" x14ac:dyDescent="0.2">
      <c r="A161" t="s">
        <v>35</v>
      </c>
      <c r="B161" s="219">
        <v>201.3398</v>
      </c>
      <c r="C161" s="219">
        <v>167.22890000000001</v>
      </c>
      <c r="D161" s="219">
        <v>140.2636</v>
      </c>
      <c r="E161" s="219">
        <v>88.661280000000005</v>
      </c>
      <c r="F161" s="219">
        <v>54.633180000000003</v>
      </c>
      <c r="G161" s="219">
        <v>40.706809999999997</v>
      </c>
      <c r="H161" s="219">
        <v>47</v>
      </c>
      <c r="I161" s="219">
        <v>70.090810000000005</v>
      </c>
      <c r="J161" s="219">
        <v>101.827</v>
      </c>
      <c r="K161" s="219">
        <v>143.11060000000001</v>
      </c>
      <c r="L161" s="219">
        <v>168.536</v>
      </c>
      <c r="M161" s="219">
        <v>190.4119</v>
      </c>
      <c r="N161" s="219">
        <v>1413.8098800000002</v>
      </c>
    </row>
    <row r="162" spans="1:14" x14ac:dyDescent="0.2">
      <c r="A162" t="s">
        <v>36</v>
      </c>
      <c r="B162" s="219">
        <v>233.4092</v>
      </c>
      <c r="C162" s="219">
        <v>202.45959999999999</v>
      </c>
      <c r="D162" s="219">
        <v>166.15770000000001</v>
      </c>
      <c r="E162" s="219">
        <v>114.413</v>
      </c>
      <c r="F162" s="219">
        <v>82.746480000000005</v>
      </c>
      <c r="G162" s="219">
        <v>55.195059999999998</v>
      </c>
      <c r="H162" s="219">
        <v>67.292910000000006</v>
      </c>
      <c r="I162" s="219">
        <v>84.010080000000002</v>
      </c>
      <c r="J162" s="219">
        <v>112.51349999999999</v>
      </c>
      <c r="K162" s="219">
        <v>144.2689</v>
      </c>
      <c r="L162" s="219">
        <v>178.35149999999999</v>
      </c>
      <c r="M162" s="219">
        <v>217.8338</v>
      </c>
      <c r="N162" s="219">
        <v>1658.65173</v>
      </c>
    </row>
    <row r="163" spans="1:14" x14ac:dyDescent="0.2">
      <c r="A163" t="s">
        <v>37</v>
      </c>
      <c r="B163" s="219">
        <v>253</v>
      </c>
      <c r="C163" s="219">
        <v>203</v>
      </c>
      <c r="D163" s="219">
        <v>176</v>
      </c>
      <c r="E163" s="219">
        <v>116</v>
      </c>
      <c r="F163" s="219">
        <v>79</v>
      </c>
      <c r="G163" s="219">
        <v>60</v>
      </c>
      <c r="H163" s="219">
        <v>73</v>
      </c>
      <c r="I163" s="219">
        <v>98</v>
      </c>
      <c r="J163" s="219">
        <v>132</v>
      </c>
      <c r="K163" s="219">
        <v>188</v>
      </c>
      <c r="L163" s="219">
        <v>230</v>
      </c>
      <c r="M163" s="219">
        <v>258</v>
      </c>
      <c r="N163" s="219">
        <v>1866</v>
      </c>
    </row>
    <row r="164" spans="1:14" x14ac:dyDescent="0.2">
      <c r="A164" t="s">
        <v>38</v>
      </c>
      <c r="B164" s="219">
        <v>191.06450000000001</v>
      </c>
      <c r="C164" s="219">
        <v>161.60910000000001</v>
      </c>
      <c r="D164" s="219">
        <v>125.4915</v>
      </c>
      <c r="E164" s="219">
        <v>79.791060000000002</v>
      </c>
      <c r="F164" s="219">
        <v>50.092120000000001</v>
      </c>
      <c r="G164" s="219">
        <v>38.034959999999998</v>
      </c>
      <c r="H164" s="219">
        <v>43.092120000000001</v>
      </c>
      <c r="I164" s="219">
        <v>66.571569999999994</v>
      </c>
      <c r="J164" s="219">
        <v>94.425709999999995</v>
      </c>
      <c r="K164" s="219">
        <v>132.71209999999999</v>
      </c>
      <c r="L164" s="219">
        <v>157.23830000000001</v>
      </c>
      <c r="M164" s="219">
        <v>187.03720000000001</v>
      </c>
      <c r="N164" s="219">
        <v>1327.1602399999999</v>
      </c>
    </row>
    <row r="165" spans="1:14" x14ac:dyDescent="0.2">
      <c r="A165" t="s">
        <v>39</v>
      </c>
      <c r="B165" s="219">
        <v>245</v>
      </c>
      <c r="C165" s="219">
        <v>195</v>
      </c>
      <c r="D165" s="219">
        <v>170</v>
      </c>
      <c r="E165" s="219">
        <v>110</v>
      </c>
      <c r="F165" s="219">
        <v>75</v>
      </c>
      <c r="G165" s="219">
        <v>57</v>
      </c>
      <c r="H165" s="219">
        <v>69</v>
      </c>
      <c r="I165" s="219">
        <v>92</v>
      </c>
      <c r="J165" s="219">
        <v>126</v>
      </c>
      <c r="K165" s="219">
        <v>180</v>
      </c>
      <c r="L165" s="219">
        <v>221</v>
      </c>
      <c r="M165" s="219">
        <v>248</v>
      </c>
      <c r="N165" s="219">
        <v>1788</v>
      </c>
    </row>
    <row r="166" spans="1:14" x14ac:dyDescent="0.2">
      <c r="A166" t="s">
        <v>40</v>
      </c>
      <c r="B166" s="219">
        <v>223.56909999999999</v>
      </c>
      <c r="C166" s="219">
        <v>179.63069999999999</v>
      </c>
      <c r="D166" s="219">
        <v>154.75380000000001</v>
      </c>
      <c r="E166" s="219">
        <v>99.815340000000006</v>
      </c>
      <c r="F166" s="219">
        <v>63.815339999999999</v>
      </c>
      <c r="G166" s="219">
        <v>45.876890000000003</v>
      </c>
      <c r="H166" s="219">
        <v>58.815339999999999</v>
      </c>
      <c r="I166" s="219">
        <v>80.815340000000006</v>
      </c>
      <c r="J166" s="219">
        <v>114.7538</v>
      </c>
      <c r="K166" s="219">
        <v>160.63069999999999</v>
      </c>
      <c r="L166" s="219">
        <v>197.63069999999999</v>
      </c>
      <c r="M166" s="219">
        <v>220.63069999999999</v>
      </c>
      <c r="N166" s="219">
        <v>1600.7377499999998</v>
      </c>
    </row>
    <row r="167" spans="1:14" x14ac:dyDescent="0.2">
      <c r="A167" t="s">
        <v>41</v>
      </c>
      <c r="B167" s="219">
        <v>217.36760000000001</v>
      </c>
      <c r="C167" s="219">
        <v>173.3853</v>
      </c>
      <c r="D167" s="219">
        <v>151.36760000000001</v>
      </c>
      <c r="E167" s="219">
        <v>97.017700000000005</v>
      </c>
      <c r="F167" s="219">
        <v>61.302010000000003</v>
      </c>
      <c r="G167" s="219">
        <v>43.621729999999999</v>
      </c>
      <c r="H167" s="219">
        <v>55.785110000000003</v>
      </c>
      <c r="I167" s="219">
        <v>78.302009999999996</v>
      </c>
      <c r="J167" s="219">
        <v>112.3197</v>
      </c>
      <c r="K167" s="219">
        <v>156.51150000000001</v>
      </c>
      <c r="L167" s="219">
        <v>192.1634</v>
      </c>
      <c r="M167" s="219">
        <v>214.18109999999999</v>
      </c>
      <c r="N167" s="219">
        <v>1553.32476</v>
      </c>
    </row>
    <row r="168" spans="1:14" x14ac:dyDescent="0.2">
      <c r="A168" t="s">
        <v>42</v>
      </c>
      <c r="B168" s="219">
        <v>230.4555</v>
      </c>
      <c r="C168" s="219">
        <v>204.9752</v>
      </c>
      <c r="D168" s="219">
        <v>200.47659999999999</v>
      </c>
      <c r="E168" s="219">
        <v>162.21260000000001</v>
      </c>
      <c r="F168" s="219">
        <v>150.7423</v>
      </c>
      <c r="G168" s="219">
        <v>136.0215</v>
      </c>
      <c r="H168" s="219">
        <v>143.54509999999999</v>
      </c>
      <c r="I168" s="219">
        <v>157.8476</v>
      </c>
      <c r="J168" s="219">
        <v>173.04589999999999</v>
      </c>
      <c r="K168" s="219">
        <v>227.9426</v>
      </c>
      <c r="L168" s="219">
        <v>239.02010000000001</v>
      </c>
      <c r="M168" s="219">
        <v>262.66730000000001</v>
      </c>
      <c r="N168" s="219">
        <v>2288.9522999999999</v>
      </c>
    </row>
    <row r="169" spans="1:14" x14ac:dyDescent="0.2">
      <c r="A169" t="s">
        <v>43</v>
      </c>
      <c r="B169" s="219">
        <v>205.60570000000001</v>
      </c>
      <c r="C169" s="219">
        <v>160.63849999999999</v>
      </c>
      <c r="D169" s="219">
        <v>141.70429999999999</v>
      </c>
      <c r="E169" s="219">
        <v>92.835700000000003</v>
      </c>
      <c r="F169" s="219">
        <v>64.868560000000002</v>
      </c>
      <c r="G169" s="219">
        <v>50.901420000000002</v>
      </c>
      <c r="H169" s="219">
        <v>59.901420000000002</v>
      </c>
      <c r="I169" s="219">
        <v>84.835700000000003</v>
      </c>
      <c r="J169" s="219">
        <v>114.8028</v>
      </c>
      <c r="K169" s="219">
        <v>153.77000000000001</v>
      </c>
      <c r="L169" s="219">
        <v>185.67140000000001</v>
      </c>
      <c r="M169" s="219">
        <v>206.60570000000001</v>
      </c>
      <c r="N169" s="219">
        <v>1522.1412</v>
      </c>
    </row>
    <row r="170" spans="1:14" x14ac:dyDescent="0.2">
      <c r="A170" t="s">
        <v>44</v>
      </c>
      <c r="B170" s="219">
        <v>195.74590000000001</v>
      </c>
      <c r="C170" s="219">
        <v>162.66829999999999</v>
      </c>
      <c r="D170" s="219">
        <v>127.8013</v>
      </c>
      <c r="E170" s="219">
        <v>79.839590000000001</v>
      </c>
      <c r="F170" s="219">
        <v>50.19003</v>
      </c>
      <c r="G170" s="219">
        <v>38.066600000000001</v>
      </c>
      <c r="H170" s="219">
        <v>43.138869999999997</v>
      </c>
      <c r="I170" s="219">
        <v>66.117760000000004</v>
      </c>
      <c r="J170" s="219">
        <v>94.382540000000006</v>
      </c>
      <c r="K170" s="219">
        <v>132.74279999999999</v>
      </c>
      <c r="L170" s="219">
        <v>158.2843</v>
      </c>
      <c r="M170" s="219">
        <v>192.45859999999999</v>
      </c>
      <c r="N170" s="219">
        <v>1341.43659</v>
      </c>
    </row>
    <row r="171" spans="1:14" x14ac:dyDescent="0.2">
      <c r="A171" t="s">
        <v>45</v>
      </c>
      <c r="B171" s="219">
        <v>216.38059999999999</v>
      </c>
      <c r="C171" s="219">
        <v>174.38059999999999</v>
      </c>
      <c r="D171" s="219">
        <v>150</v>
      </c>
      <c r="E171" s="219">
        <v>95.380560000000003</v>
      </c>
      <c r="F171" s="219">
        <v>56.690280000000001</v>
      </c>
      <c r="G171" s="219">
        <v>38.690280000000001</v>
      </c>
      <c r="H171" s="219">
        <v>51</v>
      </c>
      <c r="I171" s="219">
        <v>74</v>
      </c>
      <c r="J171" s="219">
        <v>109.3806</v>
      </c>
      <c r="K171" s="219">
        <v>153.07079999999999</v>
      </c>
      <c r="L171" s="219">
        <v>189.07079999999999</v>
      </c>
      <c r="M171" s="219">
        <v>210.69030000000001</v>
      </c>
      <c r="N171" s="219">
        <v>1518.7348199999999</v>
      </c>
    </row>
    <row r="172" spans="1:14" x14ac:dyDescent="0.2">
      <c r="A172" t="s">
        <v>46</v>
      </c>
      <c r="B172" s="219">
        <v>179.9366</v>
      </c>
      <c r="C172" s="219">
        <v>154.16829999999999</v>
      </c>
      <c r="D172" s="219">
        <v>112.7568</v>
      </c>
      <c r="E172" s="219">
        <v>72.728080000000006</v>
      </c>
      <c r="F172" s="219">
        <v>44.404290000000003</v>
      </c>
      <c r="G172" s="219">
        <v>30.81052</v>
      </c>
      <c r="H172" s="219">
        <v>38.35886</v>
      </c>
      <c r="I172" s="219">
        <v>60.734400000000001</v>
      </c>
      <c r="J172" s="219">
        <v>87.771199999999993</v>
      </c>
      <c r="K172" s="219">
        <v>121.383</v>
      </c>
      <c r="L172" s="219">
        <v>144.19489999999999</v>
      </c>
      <c r="M172" s="219">
        <v>175.24879999999999</v>
      </c>
      <c r="N172" s="219">
        <v>1222.4957500000003</v>
      </c>
    </row>
    <row r="173" spans="1:14" x14ac:dyDescent="0.2">
      <c r="A173" t="s">
        <v>47</v>
      </c>
      <c r="B173" s="219">
        <v>229.41399999999999</v>
      </c>
      <c r="C173" s="219">
        <v>201.0932</v>
      </c>
      <c r="D173" s="219">
        <v>203.09889999999999</v>
      </c>
      <c r="E173" s="219">
        <v>154.19460000000001</v>
      </c>
      <c r="F173" s="219">
        <v>131.60820000000001</v>
      </c>
      <c r="G173" s="219">
        <v>116.6786</v>
      </c>
      <c r="H173" s="219">
        <v>126.16889999999999</v>
      </c>
      <c r="I173" s="219">
        <v>143.10900000000001</v>
      </c>
      <c r="J173" s="219">
        <v>169.98150000000001</v>
      </c>
      <c r="K173" s="219">
        <v>215.02029999999999</v>
      </c>
      <c r="L173" s="219">
        <v>228.05879999999999</v>
      </c>
      <c r="M173" s="219">
        <v>240.63550000000001</v>
      </c>
      <c r="N173" s="219">
        <v>2159.0614999999998</v>
      </c>
    </row>
    <row r="174" spans="1:14" x14ac:dyDescent="0.2">
      <c r="A174" t="s">
        <v>48</v>
      </c>
      <c r="B174" s="219">
        <v>225.9349</v>
      </c>
      <c r="C174" s="219">
        <v>197.84549999999999</v>
      </c>
      <c r="D174" s="219">
        <v>156.84049999999999</v>
      </c>
      <c r="E174" s="219">
        <v>98.101950000000002</v>
      </c>
      <c r="F174" s="219">
        <v>66.311779999999999</v>
      </c>
      <c r="G174" s="219">
        <v>47.639330000000001</v>
      </c>
      <c r="H174" s="219">
        <v>52.869959999999999</v>
      </c>
      <c r="I174" s="219">
        <v>75.260750000000002</v>
      </c>
      <c r="J174" s="219">
        <v>101.30240000000001</v>
      </c>
      <c r="K174" s="219">
        <v>155.6069</v>
      </c>
      <c r="L174" s="219">
        <v>180.7063</v>
      </c>
      <c r="M174" s="219">
        <v>215.9178</v>
      </c>
      <c r="N174" s="219">
        <v>1574.33807</v>
      </c>
    </row>
    <row r="175" spans="1:14" x14ac:dyDescent="0.2">
      <c r="A175" t="s">
        <v>49</v>
      </c>
      <c r="B175" s="219">
        <v>215.12020000000001</v>
      </c>
      <c r="C175" s="219">
        <v>168.88929999999999</v>
      </c>
      <c r="D175" s="219">
        <v>148.48410000000001</v>
      </c>
      <c r="E175" s="219">
        <v>97.499539999999996</v>
      </c>
      <c r="F175" s="219">
        <v>66.229200000000006</v>
      </c>
      <c r="G175" s="219">
        <v>50.8795</v>
      </c>
      <c r="H175" s="219">
        <v>61.312669999999997</v>
      </c>
      <c r="I175" s="219">
        <v>85.249769999999998</v>
      </c>
      <c r="J175" s="219">
        <v>116.5795</v>
      </c>
      <c r="K175" s="219">
        <v>160.30420000000001</v>
      </c>
      <c r="L175" s="219">
        <v>193.81489999999999</v>
      </c>
      <c r="M175" s="219">
        <v>215.54390000000001</v>
      </c>
      <c r="N175" s="219">
        <v>1579.9067800000003</v>
      </c>
    </row>
    <row r="176" spans="1:14" x14ac:dyDescent="0.2">
      <c r="A176" t="s">
        <v>50</v>
      </c>
      <c r="B176" s="219">
        <v>228.61070000000001</v>
      </c>
      <c r="C176" s="219">
        <v>193.17310000000001</v>
      </c>
      <c r="D176" s="219">
        <v>161.65299999999999</v>
      </c>
      <c r="E176" s="219">
        <v>107.79819999999999</v>
      </c>
      <c r="F176" s="219">
        <v>71.880870000000002</v>
      </c>
      <c r="G176" s="219">
        <v>45.874000000000002</v>
      </c>
      <c r="H176" s="219">
        <v>58.65</v>
      </c>
      <c r="I176" s="219">
        <v>76.722070000000002</v>
      </c>
      <c r="J176" s="219">
        <v>107.7841</v>
      </c>
      <c r="K176" s="219">
        <v>143.68510000000001</v>
      </c>
      <c r="L176" s="219">
        <v>177.31479999999999</v>
      </c>
      <c r="M176" s="219">
        <v>214.36510000000001</v>
      </c>
      <c r="N176" s="219">
        <v>1587.5110399999999</v>
      </c>
    </row>
    <row r="177" spans="1:14" x14ac:dyDescent="0.2">
      <c r="A177" t="s">
        <v>51</v>
      </c>
      <c r="B177" s="219">
        <v>261.77809999999999</v>
      </c>
      <c r="C177" s="219">
        <v>221.3877</v>
      </c>
      <c r="D177" s="219">
        <v>185.00030000000001</v>
      </c>
      <c r="E177" s="219">
        <v>139.15440000000001</v>
      </c>
      <c r="F177" s="219">
        <v>107.5869</v>
      </c>
      <c r="G177" s="219">
        <v>84.863699999999994</v>
      </c>
      <c r="H177" s="219">
        <v>94.803690000000003</v>
      </c>
      <c r="I177" s="219">
        <v>112.8963</v>
      </c>
      <c r="J177" s="219">
        <v>146.86250000000001</v>
      </c>
      <c r="K177" s="219">
        <v>203.88159999999999</v>
      </c>
      <c r="L177" s="219">
        <v>236.12549999999999</v>
      </c>
      <c r="M177" s="219">
        <v>278.5788</v>
      </c>
      <c r="N177" s="219">
        <v>2072.9194900000002</v>
      </c>
    </row>
    <row r="178" spans="1:14" x14ac:dyDescent="0.2">
      <c r="A178" t="s">
        <v>52</v>
      </c>
      <c r="B178" s="219">
        <v>241.77080000000001</v>
      </c>
      <c r="C178" s="219">
        <v>195.30609999999999</v>
      </c>
      <c r="D178" s="219">
        <v>166.86600000000001</v>
      </c>
      <c r="E178" s="219">
        <v>114.0248</v>
      </c>
      <c r="F178" s="219">
        <v>79.202749999999995</v>
      </c>
      <c r="G178" s="219">
        <v>59.146210000000004</v>
      </c>
      <c r="H178" s="219">
        <v>72.968239999999994</v>
      </c>
      <c r="I178" s="219">
        <v>96.382069999999999</v>
      </c>
      <c r="J178" s="219">
        <v>131.1737</v>
      </c>
      <c r="K178" s="219">
        <v>181.2868</v>
      </c>
      <c r="L178" s="219">
        <v>219.22049999999999</v>
      </c>
      <c r="M178" s="219">
        <v>244.88929999999999</v>
      </c>
      <c r="N178" s="219">
        <v>1802.2372700000003</v>
      </c>
    </row>
    <row r="179" spans="1:14" x14ac:dyDescent="0.2">
      <c r="A179" t="s">
        <v>53</v>
      </c>
      <c r="B179" s="219">
        <v>222.03720000000001</v>
      </c>
      <c r="C179" s="219">
        <v>179.184</v>
      </c>
      <c r="D179" s="219">
        <v>150.09450000000001</v>
      </c>
      <c r="E179" s="219">
        <v>95.581869999999995</v>
      </c>
      <c r="F179" s="219">
        <v>59.468530000000001</v>
      </c>
      <c r="G179" s="219">
        <v>43.662649999999999</v>
      </c>
      <c r="H179" s="219">
        <v>50.470019999999998</v>
      </c>
      <c r="I179" s="219">
        <v>74.327680000000001</v>
      </c>
      <c r="J179" s="219">
        <v>109.0924</v>
      </c>
      <c r="K179" s="219">
        <v>160.91200000000001</v>
      </c>
      <c r="L179" s="219">
        <v>187.21129999999999</v>
      </c>
      <c r="M179" s="219">
        <v>211.35169999999999</v>
      </c>
      <c r="N179" s="219">
        <v>1543.3938499999997</v>
      </c>
    </row>
    <row r="180" spans="1:14" x14ac:dyDescent="0.2">
      <c r="A180" t="s">
        <v>54</v>
      </c>
      <c r="B180" s="219">
        <v>223.57509999999999</v>
      </c>
      <c r="C180" s="219">
        <v>177.3845</v>
      </c>
      <c r="D180" s="219">
        <v>151.8689</v>
      </c>
      <c r="E180" s="219">
        <v>97.380309999999994</v>
      </c>
      <c r="F180" s="219">
        <v>60.363759999999999</v>
      </c>
      <c r="G180" s="219">
        <v>45.592230000000001</v>
      </c>
      <c r="H180" s="219">
        <v>51.472540000000002</v>
      </c>
      <c r="I180" s="219">
        <v>76.412930000000003</v>
      </c>
      <c r="J180" s="219">
        <v>112.38549999999999</v>
      </c>
      <c r="K180" s="219">
        <v>163.0429</v>
      </c>
      <c r="L180" s="219">
        <v>191.6294</v>
      </c>
      <c r="M180" s="219">
        <v>215.5642</v>
      </c>
      <c r="N180" s="219">
        <v>1566.67227</v>
      </c>
    </row>
    <row r="181" spans="1:14" x14ac:dyDescent="0.2">
      <c r="A181" t="s">
        <v>55</v>
      </c>
      <c r="B181" s="219">
        <v>217.46180000000001</v>
      </c>
      <c r="C181" s="219">
        <v>175.3854</v>
      </c>
      <c r="D181" s="219">
        <v>151.46180000000001</v>
      </c>
      <c r="E181" s="219">
        <v>96.53819</v>
      </c>
      <c r="F181" s="219">
        <v>59.614559999999997</v>
      </c>
      <c r="G181" s="219">
        <v>41.229120000000002</v>
      </c>
      <c r="H181" s="219">
        <v>54.152749999999997</v>
      </c>
      <c r="I181" s="219">
        <v>76.614559999999997</v>
      </c>
      <c r="J181" s="219">
        <v>110.07640000000001</v>
      </c>
      <c r="K181" s="219">
        <v>154.07640000000001</v>
      </c>
      <c r="L181" s="219">
        <v>191.53819999999999</v>
      </c>
      <c r="M181" s="219">
        <v>214.07640000000001</v>
      </c>
      <c r="N181" s="219">
        <v>1542.2255799999998</v>
      </c>
    </row>
    <row r="182" spans="1:14" x14ac:dyDescent="0.2">
      <c r="A182" t="s">
        <v>56</v>
      </c>
      <c r="B182" s="219">
        <v>138.8879</v>
      </c>
      <c r="C182" s="219">
        <v>102.0526</v>
      </c>
      <c r="D182" s="219">
        <v>86.831909999999993</v>
      </c>
      <c r="E182" s="219">
        <v>47.810250000000003</v>
      </c>
      <c r="F182" s="219">
        <v>29.262519999999999</v>
      </c>
      <c r="G182" s="219">
        <v>16.747910000000001</v>
      </c>
      <c r="H182" s="219">
        <v>20.500520000000002</v>
      </c>
      <c r="I182" s="219">
        <v>36.103439999999999</v>
      </c>
      <c r="J182" s="219">
        <v>70.316649999999996</v>
      </c>
      <c r="K182" s="219">
        <v>103.02809999999999</v>
      </c>
      <c r="L182" s="219">
        <v>127.22790000000001</v>
      </c>
      <c r="M182" s="219">
        <v>143.6233</v>
      </c>
      <c r="N182" s="219">
        <v>922.39299999999992</v>
      </c>
    </row>
    <row r="183" spans="1:14" x14ac:dyDescent="0.2">
      <c r="A183" t="s">
        <v>57</v>
      </c>
      <c r="B183" s="219">
        <v>205.18199999999999</v>
      </c>
      <c r="C183" s="219">
        <v>161.48500000000001</v>
      </c>
      <c r="D183" s="219">
        <v>141.78800000000001</v>
      </c>
      <c r="E183" s="219">
        <v>93.394009999999994</v>
      </c>
      <c r="F183" s="219">
        <v>62.565669999999997</v>
      </c>
      <c r="G183" s="219">
        <v>46.868659999999998</v>
      </c>
      <c r="H183" s="219">
        <v>57</v>
      </c>
      <c r="I183" s="219">
        <v>80.434330000000003</v>
      </c>
      <c r="J183" s="219">
        <v>111.697</v>
      </c>
      <c r="K183" s="219">
        <v>153.9597</v>
      </c>
      <c r="L183" s="219">
        <v>185.3537</v>
      </c>
      <c r="M183" s="219">
        <v>205.48500000000001</v>
      </c>
      <c r="N183" s="219">
        <v>1505.2130700000002</v>
      </c>
    </row>
    <row r="184" spans="1:14" x14ac:dyDescent="0.2">
      <c r="A184" t="s">
        <v>58</v>
      </c>
      <c r="B184" s="219">
        <v>212.9845</v>
      </c>
      <c r="C184" s="219">
        <v>161.99610000000001</v>
      </c>
      <c r="D184" s="219">
        <v>141.99029999999999</v>
      </c>
      <c r="E184" s="219">
        <v>91.99418</v>
      </c>
      <c r="F184" s="219">
        <v>53.998060000000002</v>
      </c>
      <c r="G184" s="219">
        <v>41.998060000000002</v>
      </c>
      <c r="H184" s="219">
        <v>46.996119999999998</v>
      </c>
      <c r="I184" s="219">
        <v>71.99418</v>
      </c>
      <c r="J184" s="219">
        <v>107.9903</v>
      </c>
      <c r="K184" s="219">
        <v>156.98840000000001</v>
      </c>
      <c r="L184" s="219">
        <v>183.9845</v>
      </c>
      <c r="M184" s="219">
        <v>205.9845</v>
      </c>
      <c r="N184" s="219">
        <v>1478.8992000000003</v>
      </c>
    </row>
    <row r="185" spans="1:14" x14ac:dyDescent="0.2">
      <c r="A185" t="s">
        <v>59</v>
      </c>
      <c r="B185" s="219">
        <v>221.94579999999999</v>
      </c>
      <c r="C185" s="219">
        <v>170.90799999999999</v>
      </c>
      <c r="D185" s="219">
        <v>150.3604</v>
      </c>
      <c r="E185" s="219">
        <v>98.2821</v>
      </c>
      <c r="F185" s="219">
        <v>58.2821</v>
      </c>
      <c r="G185" s="219">
        <v>44.966940000000001</v>
      </c>
      <c r="H185" s="219">
        <v>50.763199999999998</v>
      </c>
      <c r="I185" s="219">
        <v>77.182599999999994</v>
      </c>
      <c r="J185" s="219">
        <v>113.5973</v>
      </c>
      <c r="K185" s="219">
        <v>164.0831</v>
      </c>
      <c r="L185" s="219">
        <v>193.64250000000001</v>
      </c>
      <c r="M185" s="219">
        <v>214.8794</v>
      </c>
      <c r="N185" s="219">
        <v>1558.8934400000001</v>
      </c>
    </row>
    <row r="186" spans="1:14" x14ac:dyDescent="0.2">
      <c r="A186" t="s">
        <v>60</v>
      </c>
      <c r="B186" s="219">
        <v>205</v>
      </c>
      <c r="C186" s="219">
        <v>158.3526</v>
      </c>
      <c r="D186" s="219">
        <v>142</v>
      </c>
      <c r="E186" s="219">
        <v>94.352590000000006</v>
      </c>
      <c r="F186" s="219">
        <v>66.705169999999995</v>
      </c>
      <c r="G186" s="219">
        <v>51.705170000000003</v>
      </c>
      <c r="H186" s="219">
        <v>61.352589999999999</v>
      </c>
      <c r="I186" s="219">
        <v>86.352590000000006</v>
      </c>
      <c r="J186" s="219">
        <v>116.6474</v>
      </c>
      <c r="K186" s="219">
        <v>154.3526</v>
      </c>
      <c r="L186" s="219">
        <v>186</v>
      </c>
      <c r="M186" s="219">
        <v>205</v>
      </c>
      <c r="N186" s="219">
        <v>1527.8207099999997</v>
      </c>
    </row>
    <row r="187" spans="1:14" x14ac:dyDescent="0.2">
      <c r="A187" t="s">
        <v>61</v>
      </c>
      <c r="B187" s="219">
        <v>195.83699999999999</v>
      </c>
      <c r="C187" s="219">
        <v>166.98599999999999</v>
      </c>
      <c r="D187" s="219">
        <v>138.21619999999999</v>
      </c>
      <c r="E187" s="219">
        <v>86.408879999999996</v>
      </c>
      <c r="F187" s="219">
        <v>53.037469999999999</v>
      </c>
      <c r="G187" s="219">
        <v>40.575859999999999</v>
      </c>
      <c r="H187" s="219">
        <v>45.669130000000003</v>
      </c>
      <c r="I187" s="219">
        <v>69.876660000000001</v>
      </c>
      <c r="J187" s="219">
        <v>98.957750000000004</v>
      </c>
      <c r="K187" s="219">
        <v>137.36799999999999</v>
      </c>
      <c r="L187" s="219">
        <v>163.74250000000001</v>
      </c>
      <c r="M187" s="219">
        <v>188.78919999999999</v>
      </c>
      <c r="N187" s="219">
        <v>1385.4646499999999</v>
      </c>
    </row>
    <row r="188" spans="1:14" x14ac:dyDescent="0.2">
      <c r="A188" t="s">
        <v>62</v>
      </c>
      <c r="B188" s="219">
        <v>219.34100000000001</v>
      </c>
      <c r="C188" s="219">
        <v>172.99590000000001</v>
      </c>
      <c r="D188" s="219">
        <v>149.5324</v>
      </c>
      <c r="E188" s="219">
        <v>97.105220000000003</v>
      </c>
      <c r="F188" s="219">
        <v>57.130519999999997</v>
      </c>
      <c r="G188" s="219">
        <v>44.029330000000002</v>
      </c>
      <c r="H188" s="219">
        <v>50.742919999999998</v>
      </c>
      <c r="I188" s="219">
        <v>75.054630000000003</v>
      </c>
      <c r="J188" s="219">
        <v>111.4008</v>
      </c>
      <c r="K188" s="219">
        <v>158.84710000000001</v>
      </c>
      <c r="L188" s="219">
        <v>190.173</v>
      </c>
      <c r="M188" s="219">
        <v>211.26509999999999</v>
      </c>
      <c r="N188" s="219">
        <v>1537.6179200000001</v>
      </c>
    </row>
    <row r="189" spans="1:14" x14ac:dyDescent="0.2">
      <c r="A189" t="s">
        <v>63</v>
      </c>
      <c r="B189" s="219">
        <v>253</v>
      </c>
      <c r="C189" s="219">
        <v>203</v>
      </c>
      <c r="D189" s="219">
        <v>176</v>
      </c>
      <c r="E189" s="219">
        <v>116</v>
      </c>
      <c r="F189" s="219">
        <v>79</v>
      </c>
      <c r="G189" s="219">
        <v>60</v>
      </c>
      <c r="H189" s="219">
        <v>73</v>
      </c>
      <c r="I189" s="219">
        <v>98</v>
      </c>
      <c r="J189" s="219">
        <v>132</v>
      </c>
      <c r="K189" s="219">
        <v>188</v>
      </c>
      <c r="L189" s="219">
        <v>230</v>
      </c>
      <c r="M189" s="219">
        <v>258</v>
      </c>
      <c r="N189" s="219">
        <v>1866</v>
      </c>
    </row>
    <row r="190" spans="1:14" x14ac:dyDescent="0.2">
      <c r="A190" t="s">
        <v>64</v>
      </c>
      <c r="B190" s="219">
        <v>160.8931</v>
      </c>
      <c r="C190" s="219">
        <v>123.1176</v>
      </c>
      <c r="D190" s="219">
        <v>105.8386</v>
      </c>
      <c r="E190" s="219">
        <v>59.782960000000003</v>
      </c>
      <c r="F190" s="219">
        <v>35.370159999999998</v>
      </c>
      <c r="G190" s="219">
        <v>24.583030000000001</v>
      </c>
      <c r="H190" s="219">
        <v>29.733930000000001</v>
      </c>
      <c r="I190" s="219">
        <v>49.737549999999999</v>
      </c>
      <c r="J190" s="219">
        <v>86.992660000000001</v>
      </c>
      <c r="K190" s="219">
        <v>123.5667</v>
      </c>
      <c r="L190" s="219">
        <v>143.53059999999999</v>
      </c>
      <c r="M190" s="219">
        <v>155.6848</v>
      </c>
      <c r="N190" s="219">
        <v>1098.83169</v>
      </c>
    </row>
    <row r="191" spans="1:14" x14ac:dyDescent="0.2">
      <c r="A191" t="s">
        <v>65</v>
      </c>
      <c r="B191" s="219">
        <v>220</v>
      </c>
      <c r="C191" s="219">
        <v>175</v>
      </c>
      <c r="D191" s="219">
        <v>152</v>
      </c>
      <c r="E191" s="219">
        <v>100</v>
      </c>
      <c r="F191" s="219">
        <v>67</v>
      </c>
      <c r="G191" s="219">
        <v>49</v>
      </c>
      <c r="H191" s="219">
        <v>61</v>
      </c>
      <c r="I191" s="219">
        <v>83</v>
      </c>
      <c r="J191" s="219">
        <v>115</v>
      </c>
      <c r="K191" s="219">
        <v>161</v>
      </c>
      <c r="L191" s="219">
        <v>198</v>
      </c>
      <c r="M191" s="219">
        <v>221</v>
      </c>
      <c r="N191" s="219">
        <v>1602</v>
      </c>
    </row>
    <row r="192" spans="1:14" x14ac:dyDescent="0.2">
      <c r="A192" t="s">
        <v>66</v>
      </c>
      <c r="B192" s="219">
        <v>220.9914</v>
      </c>
      <c r="C192" s="219">
        <v>199.2516</v>
      </c>
      <c r="D192" s="219">
        <v>198.78729999999999</v>
      </c>
      <c r="E192" s="219">
        <v>179.29470000000001</v>
      </c>
      <c r="F192" s="219">
        <v>172.0925</v>
      </c>
      <c r="G192" s="219">
        <v>150.44390000000001</v>
      </c>
      <c r="H192" s="219">
        <v>163.01499999999999</v>
      </c>
      <c r="I192" s="219">
        <v>177.506</v>
      </c>
      <c r="J192" s="219">
        <v>200.04910000000001</v>
      </c>
      <c r="K192" s="219">
        <v>246.53219999999999</v>
      </c>
      <c r="L192" s="219">
        <v>268.95749999999998</v>
      </c>
      <c r="M192" s="219">
        <v>265.61020000000002</v>
      </c>
      <c r="N192" s="219">
        <v>2442.5314000000003</v>
      </c>
    </row>
    <row r="193" spans="1:14" x14ac:dyDescent="0.2">
      <c r="A193" t="s">
        <v>67</v>
      </c>
      <c r="B193" s="219">
        <v>226.2851</v>
      </c>
      <c r="C193" s="219">
        <v>178.5249</v>
      </c>
      <c r="D193" s="219">
        <v>157.20359999999999</v>
      </c>
      <c r="E193" s="219">
        <v>103.8824</v>
      </c>
      <c r="F193" s="219">
        <v>72.081450000000004</v>
      </c>
      <c r="G193" s="219">
        <v>54.800899999999999</v>
      </c>
      <c r="H193" s="219">
        <v>67.081450000000004</v>
      </c>
      <c r="I193" s="219">
        <v>89.800899999999999</v>
      </c>
      <c r="J193" s="219">
        <v>121.5611</v>
      </c>
      <c r="K193" s="219">
        <v>167.6833</v>
      </c>
      <c r="L193" s="219">
        <v>205.00450000000001</v>
      </c>
      <c r="M193" s="219">
        <v>228.56559999999999</v>
      </c>
      <c r="N193" s="219">
        <v>1672.4751999999996</v>
      </c>
    </row>
    <row r="194" spans="1:14" x14ac:dyDescent="0.2">
      <c r="A194" t="s">
        <v>985</v>
      </c>
      <c r="B194" s="219">
        <v>185.75919999999999</v>
      </c>
      <c r="C194" s="219">
        <v>158.05969999999999</v>
      </c>
      <c r="D194" s="219">
        <v>117.532</v>
      </c>
      <c r="E194" s="219">
        <v>76.861680000000007</v>
      </c>
      <c r="F194" s="219">
        <v>47.993639999999999</v>
      </c>
      <c r="G194" s="219">
        <v>33.828850000000003</v>
      </c>
      <c r="H194" s="219">
        <v>40.658639999999998</v>
      </c>
      <c r="I194" s="219">
        <v>63.227290000000004</v>
      </c>
      <c r="J194" s="219">
        <v>91.044470000000004</v>
      </c>
      <c r="K194" s="219">
        <v>125.4303</v>
      </c>
      <c r="L194" s="219">
        <v>149.96860000000001</v>
      </c>
      <c r="M194" s="219">
        <v>180.62729999999999</v>
      </c>
      <c r="N194" s="219">
        <v>1270.9916699999999</v>
      </c>
    </row>
    <row r="195" spans="1:14" x14ac:dyDescent="0.2">
      <c r="A195" t="s">
        <v>68</v>
      </c>
      <c r="B195" s="219">
        <v>210.4117</v>
      </c>
      <c r="C195" s="219">
        <v>174.6046</v>
      </c>
      <c r="D195" s="219">
        <v>159.47640000000001</v>
      </c>
      <c r="E195" s="219">
        <v>115.9464</v>
      </c>
      <c r="F195" s="219">
        <v>88.313400000000001</v>
      </c>
      <c r="G195" s="219">
        <v>74.218599999999995</v>
      </c>
      <c r="H195" s="219">
        <v>83.598479999999995</v>
      </c>
      <c r="I195" s="219">
        <v>103.4958</v>
      </c>
      <c r="J195" s="219">
        <v>133.24279999999999</v>
      </c>
      <c r="K195" s="219">
        <v>180.58070000000001</v>
      </c>
      <c r="L195" s="219">
        <v>202.23920000000001</v>
      </c>
      <c r="M195" s="219">
        <v>223.3622</v>
      </c>
      <c r="N195" s="219">
        <v>1749.49028</v>
      </c>
    </row>
    <row r="196" spans="1:14" x14ac:dyDescent="0.2">
      <c r="A196" t="s">
        <v>69</v>
      </c>
      <c r="B196" s="219">
        <v>245</v>
      </c>
      <c r="C196" s="219">
        <v>195</v>
      </c>
      <c r="D196" s="219">
        <v>170</v>
      </c>
      <c r="E196" s="219">
        <v>110</v>
      </c>
      <c r="F196" s="219">
        <v>75</v>
      </c>
      <c r="G196" s="219">
        <v>57</v>
      </c>
      <c r="H196" s="219">
        <v>69</v>
      </c>
      <c r="I196" s="219">
        <v>92</v>
      </c>
      <c r="J196" s="219">
        <v>126</v>
      </c>
      <c r="K196" s="219">
        <v>180</v>
      </c>
      <c r="L196" s="219">
        <v>221</v>
      </c>
      <c r="M196" s="219">
        <v>248</v>
      </c>
      <c r="N196" s="219">
        <v>1788</v>
      </c>
    </row>
    <row r="197" spans="1:14" x14ac:dyDescent="0.2">
      <c r="A197" t="s">
        <v>70</v>
      </c>
      <c r="B197" s="219">
        <v>198</v>
      </c>
      <c r="C197" s="219">
        <v>167.2372</v>
      </c>
      <c r="D197" s="219">
        <v>138</v>
      </c>
      <c r="E197" s="219">
        <v>86</v>
      </c>
      <c r="F197" s="219">
        <v>53.525530000000003</v>
      </c>
      <c r="G197" s="219">
        <v>40.237229999999997</v>
      </c>
      <c r="H197" s="219">
        <v>45.762770000000003</v>
      </c>
      <c r="I197" s="219">
        <v>69.237229999999997</v>
      </c>
      <c r="J197" s="219">
        <v>98.237229999999997</v>
      </c>
      <c r="K197" s="219">
        <v>138</v>
      </c>
      <c r="L197" s="219">
        <v>161.42339999999999</v>
      </c>
      <c r="M197" s="219">
        <v>189.94890000000001</v>
      </c>
      <c r="N197" s="219">
        <v>1385.6094899999998</v>
      </c>
    </row>
    <row r="198" spans="1:14" x14ac:dyDescent="0.2">
      <c r="A198" t="s">
        <v>71</v>
      </c>
      <c r="B198" s="219">
        <v>259.9914</v>
      </c>
      <c r="C198" s="219">
        <v>225.67930000000001</v>
      </c>
      <c r="D198" s="219">
        <v>192.7397</v>
      </c>
      <c r="E198" s="219">
        <v>148.28559999999999</v>
      </c>
      <c r="F198" s="219">
        <v>116.63030000000001</v>
      </c>
      <c r="G198" s="219">
        <v>90.573899999999995</v>
      </c>
      <c r="H198" s="219">
        <v>102.9979</v>
      </c>
      <c r="I198" s="219">
        <v>123.08499999999999</v>
      </c>
      <c r="J198" s="219">
        <v>155.79669999999999</v>
      </c>
      <c r="K198" s="219">
        <v>208.9717</v>
      </c>
      <c r="L198" s="219">
        <v>241.01140000000001</v>
      </c>
      <c r="M198" s="219">
        <v>283.88749999999999</v>
      </c>
      <c r="N198" s="219">
        <v>2149.6504000000004</v>
      </c>
    </row>
    <row r="199" spans="1:14" x14ac:dyDescent="0.2">
      <c r="A199" t="s">
        <v>72</v>
      </c>
      <c r="B199" s="219">
        <v>187.08699999999999</v>
      </c>
      <c r="C199" s="219">
        <v>156.74209999999999</v>
      </c>
      <c r="D199" s="219">
        <v>119.3143</v>
      </c>
      <c r="E199" s="219">
        <v>76.787970000000001</v>
      </c>
      <c r="F199" s="219">
        <v>48.524369999999998</v>
      </c>
      <c r="G199" s="219">
        <v>35.785989999999998</v>
      </c>
      <c r="H199" s="219">
        <v>42.262180000000001</v>
      </c>
      <c r="I199" s="219">
        <v>64.340999999999994</v>
      </c>
      <c r="J199" s="219">
        <v>91.769649999999999</v>
      </c>
      <c r="K199" s="219">
        <v>127.2771</v>
      </c>
      <c r="L199" s="219">
        <v>151.4264</v>
      </c>
      <c r="M199" s="219">
        <v>181.23660000000001</v>
      </c>
      <c r="N199" s="219">
        <v>1282.5546599999998</v>
      </c>
    </row>
    <row r="200" spans="1:14" x14ac:dyDescent="0.2">
      <c r="A200" t="s">
        <v>73</v>
      </c>
      <c r="B200" s="219">
        <v>242.68539999999999</v>
      </c>
      <c r="C200" s="219">
        <v>194.6292</v>
      </c>
      <c r="D200" s="219">
        <v>167.68539999999999</v>
      </c>
      <c r="E200" s="219">
        <v>112.5729</v>
      </c>
      <c r="F200" s="219">
        <v>77.572909999999993</v>
      </c>
      <c r="G200" s="219">
        <v>57.57291</v>
      </c>
      <c r="H200" s="219">
        <v>71.572909999999993</v>
      </c>
      <c r="I200" s="219">
        <v>94.202070000000006</v>
      </c>
      <c r="J200" s="219">
        <v>129.2021</v>
      </c>
      <c r="K200" s="219">
        <v>179.2021</v>
      </c>
      <c r="L200" s="219">
        <v>218.94370000000001</v>
      </c>
      <c r="M200" s="219">
        <v>246</v>
      </c>
      <c r="N200" s="219">
        <v>1791.8416</v>
      </c>
    </row>
    <row r="201" spans="1:14" x14ac:dyDescent="0.2">
      <c r="A201" t="s">
        <v>74</v>
      </c>
      <c r="B201" s="219">
        <v>183.63390000000001</v>
      </c>
      <c r="C201" s="219">
        <v>154.2672</v>
      </c>
      <c r="D201" s="219">
        <v>118.83199999999999</v>
      </c>
      <c r="E201" s="219">
        <v>69.330609999999993</v>
      </c>
      <c r="F201" s="219">
        <v>42.504109999999997</v>
      </c>
      <c r="G201" s="219">
        <v>32.48518</v>
      </c>
      <c r="H201" s="219">
        <v>33.705419999999997</v>
      </c>
      <c r="I201" s="219">
        <v>57.792430000000003</v>
      </c>
      <c r="J201" s="219">
        <v>95.748320000000007</v>
      </c>
      <c r="K201" s="219">
        <v>137.77010000000001</v>
      </c>
      <c r="L201" s="219">
        <v>168.4931</v>
      </c>
      <c r="M201" s="219">
        <v>180.4923</v>
      </c>
      <c r="N201" s="219">
        <v>1275.05467</v>
      </c>
    </row>
    <row r="202" spans="1:14" x14ac:dyDescent="0.2">
      <c r="A202" t="s">
        <v>75</v>
      </c>
      <c r="B202" s="219">
        <v>218.90190000000001</v>
      </c>
      <c r="C202" s="219">
        <v>175.90190000000001</v>
      </c>
      <c r="D202" s="219">
        <v>152.90190000000001</v>
      </c>
      <c r="E202" s="219">
        <v>97.633949999999999</v>
      </c>
      <c r="F202" s="219">
        <v>60.366050000000001</v>
      </c>
      <c r="G202" s="219">
        <v>42.732089999999999</v>
      </c>
      <c r="H202" s="219">
        <v>55.366050000000001</v>
      </c>
      <c r="I202" s="219">
        <v>77.366050000000001</v>
      </c>
      <c r="J202" s="219">
        <v>111.634</v>
      </c>
      <c r="K202" s="219">
        <v>156.2679</v>
      </c>
      <c r="L202" s="219">
        <v>192.63399999999999</v>
      </c>
      <c r="M202" s="219">
        <v>215.63399999999999</v>
      </c>
      <c r="N202" s="219">
        <v>1557.33979</v>
      </c>
    </row>
    <row r="203" spans="1:14" x14ac:dyDescent="0.2">
      <c r="A203" t="s">
        <v>76</v>
      </c>
      <c r="B203" s="219">
        <v>201.49690000000001</v>
      </c>
      <c r="C203" s="219">
        <v>169.55070000000001</v>
      </c>
      <c r="D203" s="219">
        <v>136.23060000000001</v>
      </c>
      <c r="E203" s="219">
        <v>87.274389999999997</v>
      </c>
      <c r="F203" s="219">
        <v>55.815199999999997</v>
      </c>
      <c r="G203" s="219">
        <v>42.700629999999997</v>
      </c>
      <c r="H203" s="219">
        <v>47.567549999999997</v>
      </c>
      <c r="I203" s="219">
        <v>69.767920000000004</v>
      </c>
      <c r="J203" s="219">
        <v>96.754549999999995</v>
      </c>
      <c r="K203" s="219">
        <v>141.90729999999999</v>
      </c>
      <c r="L203" s="219">
        <v>170.1593</v>
      </c>
      <c r="M203" s="219">
        <v>198.03800000000001</v>
      </c>
      <c r="N203" s="219">
        <v>1417.26304</v>
      </c>
    </row>
    <row r="204" spans="1:14" x14ac:dyDescent="0.2">
      <c r="A204" t="s">
        <v>77</v>
      </c>
      <c r="B204" s="219">
        <v>259</v>
      </c>
      <c r="C204" s="219">
        <v>207</v>
      </c>
      <c r="D204" s="219">
        <v>181</v>
      </c>
      <c r="E204" s="219">
        <v>120</v>
      </c>
      <c r="F204" s="219">
        <v>84</v>
      </c>
      <c r="G204" s="219">
        <v>64</v>
      </c>
      <c r="H204" s="219">
        <v>78</v>
      </c>
      <c r="I204" s="219">
        <v>104</v>
      </c>
      <c r="J204" s="219">
        <v>140</v>
      </c>
      <c r="K204" s="219">
        <v>194</v>
      </c>
      <c r="L204" s="219">
        <v>235</v>
      </c>
      <c r="M204" s="219">
        <v>263</v>
      </c>
      <c r="N204" s="219">
        <v>1929</v>
      </c>
    </row>
    <row r="205" spans="1:14" x14ac:dyDescent="0.2">
      <c r="A205" t="s">
        <v>78</v>
      </c>
      <c r="B205" s="219">
        <v>184.45490000000001</v>
      </c>
      <c r="C205" s="219">
        <v>144.44720000000001</v>
      </c>
      <c r="D205" s="219">
        <v>129.1593</v>
      </c>
      <c r="E205" s="219">
        <v>86.439530000000005</v>
      </c>
      <c r="F205" s="219">
        <v>61.151629999999997</v>
      </c>
      <c r="G205" s="219">
        <v>48.719769999999997</v>
      </c>
      <c r="H205" s="219">
        <v>56.863720000000001</v>
      </c>
      <c r="I205" s="219">
        <v>80.151629999999997</v>
      </c>
      <c r="J205" s="219">
        <v>107.4395</v>
      </c>
      <c r="K205" s="219">
        <v>142.1593</v>
      </c>
      <c r="L205" s="219">
        <v>168.87909999999999</v>
      </c>
      <c r="M205" s="219">
        <v>186.167</v>
      </c>
      <c r="N205" s="219">
        <v>1396.0325799999996</v>
      </c>
    </row>
    <row r="206" spans="1:14" x14ac:dyDescent="0.2">
      <c r="A206" t="s">
        <v>79</v>
      </c>
      <c r="B206" s="219">
        <v>217.1532</v>
      </c>
      <c r="C206" s="219">
        <v>174.1258</v>
      </c>
      <c r="D206" s="219">
        <v>151.61009999999999</v>
      </c>
      <c r="E206" s="219">
        <v>96.746009999999998</v>
      </c>
      <c r="F206" s="219">
        <v>60.027410000000003</v>
      </c>
      <c r="G206" s="219">
        <v>42.255870000000002</v>
      </c>
      <c r="H206" s="219">
        <v>54.027410000000003</v>
      </c>
      <c r="I206" s="219">
        <v>77.703869999999995</v>
      </c>
      <c r="J206" s="219">
        <v>111.6024</v>
      </c>
      <c r="K206" s="219">
        <v>155.97450000000001</v>
      </c>
      <c r="L206" s="219">
        <v>191.86410000000001</v>
      </c>
      <c r="M206" s="219">
        <v>213.63560000000001</v>
      </c>
      <c r="N206" s="219">
        <v>1546.7262700000001</v>
      </c>
    </row>
    <row r="207" spans="1:14" x14ac:dyDescent="0.2">
      <c r="A207" t="s">
        <v>80</v>
      </c>
      <c r="B207" s="219">
        <v>224.10239999999999</v>
      </c>
      <c r="C207" s="219">
        <v>180.25040000000001</v>
      </c>
      <c r="D207" s="219">
        <v>153.83600000000001</v>
      </c>
      <c r="E207" s="219">
        <v>99.540710000000004</v>
      </c>
      <c r="F207" s="219">
        <v>60.249760000000002</v>
      </c>
      <c r="G207" s="219">
        <v>43.9283</v>
      </c>
      <c r="H207" s="219">
        <v>51.784050000000001</v>
      </c>
      <c r="I207" s="219">
        <v>74.950950000000006</v>
      </c>
      <c r="J207" s="219">
        <v>110.4349</v>
      </c>
      <c r="K207" s="219">
        <v>158.7423</v>
      </c>
      <c r="L207" s="219">
        <v>191.15049999999999</v>
      </c>
      <c r="M207" s="219">
        <v>214.9297</v>
      </c>
      <c r="N207" s="219">
        <v>1563.8999699999999</v>
      </c>
    </row>
    <row r="208" spans="1:14" x14ac:dyDescent="0.2">
      <c r="A208" t="s">
        <v>81</v>
      </c>
      <c r="B208" s="219">
        <v>246.38579999999999</v>
      </c>
      <c r="C208" s="219">
        <v>196.38579999999999</v>
      </c>
      <c r="D208" s="219">
        <v>171.0394</v>
      </c>
      <c r="E208" s="219">
        <v>111.0394</v>
      </c>
      <c r="F208" s="219">
        <v>75.692909999999998</v>
      </c>
      <c r="G208" s="219">
        <v>57.519689999999997</v>
      </c>
      <c r="H208" s="219">
        <v>69.692909999999998</v>
      </c>
      <c r="I208" s="219">
        <v>93.039370000000005</v>
      </c>
      <c r="J208" s="219">
        <v>127.0394</v>
      </c>
      <c r="K208" s="219">
        <v>181.38579999999999</v>
      </c>
      <c r="L208" s="219">
        <v>222.5591</v>
      </c>
      <c r="M208" s="219">
        <v>249.73230000000001</v>
      </c>
      <c r="N208" s="219">
        <v>1801.51188</v>
      </c>
    </row>
    <row r="209" spans="1:14" x14ac:dyDescent="0.2">
      <c r="A209" t="s">
        <v>82</v>
      </c>
      <c r="B209" s="219">
        <v>221.81389999999999</v>
      </c>
      <c r="C209" s="219">
        <v>178.6146</v>
      </c>
      <c r="D209" s="219">
        <v>153.4496</v>
      </c>
      <c r="E209" s="219">
        <v>97.012119999999996</v>
      </c>
      <c r="F209" s="219">
        <v>58.572850000000003</v>
      </c>
      <c r="G209" s="219">
        <v>39.638530000000003</v>
      </c>
      <c r="H209" s="219">
        <v>53.105690000000003</v>
      </c>
      <c r="I209" s="219">
        <v>76.105689999999996</v>
      </c>
      <c r="J209" s="219">
        <v>110.925</v>
      </c>
      <c r="K209" s="219">
        <v>155.70820000000001</v>
      </c>
      <c r="L209" s="219">
        <v>192.20500000000001</v>
      </c>
      <c r="M209" s="219">
        <v>215.5274</v>
      </c>
      <c r="N209" s="219">
        <v>1552.6785799999998</v>
      </c>
    </row>
    <row r="210" spans="1:14" x14ac:dyDescent="0.2">
      <c r="A210" t="s">
        <v>83</v>
      </c>
      <c r="B210" s="219">
        <v>222.92140000000001</v>
      </c>
      <c r="C210" s="219">
        <v>172.8486</v>
      </c>
      <c r="D210" s="219">
        <v>150.71860000000001</v>
      </c>
      <c r="E210" s="219">
        <v>99.663560000000004</v>
      </c>
      <c r="F210" s="219">
        <v>60.160420000000002</v>
      </c>
      <c r="G210" s="219">
        <v>44.987960000000001</v>
      </c>
      <c r="H210" s="219">
        <v>52.44238</v>
      </c>
      <c r="I210" s="219">
        <v>77.945520000000002</v>
      </c>
      <c r="J210" s="219">
        <v>114.18510000000001</v>
      </c>
      <c r="K210" s="219">
        <v>163.95179999999999</v>
      </c>
      <c r="L210" s="219">
        <v>195.0761</v>
      </c>
      <c r="M210" s="219">
        <v>216.1002</v>
      </c>
      <c r="N210" s="219">
        <v>1571.0016400000002</v>
      </c>
    </row>
    <row r="211" spans="1:14" x14ac:dyDescent="0.2">
      <c r="A211" t="s">
        <v>84</v>
      </c>
      <c r="B211" s="219">
        <v>218.9623</v>
      </c>
      <c r="C211" s="219">
        <v>170.18770000000001</v>
      </c>
      <c r="D211" s="219">
        <v>147.8663</v>
      </c>
      <c r="E211" s="219">
        <v>96.635369999999995</v>
      </c>
      <c r="F211" s="219">
        <v>57.664639999999999</v>
      </c>
      <c r="G211" s="219">
        <v>44.205570000000002</v>
      </c>
      <c r="H211" s="219">
        <v>49.729149999999997</v>
      </c>
      <c r="I211" s="219">
        <v>74.193820000000002</v>
      </c>
      <c r="J211" s="219">
        <v>110.7637</v>
      </c>
      <c r="K211" s="219">
        <v>160.71729999999999</v>
      </c>
      <c r="L211" s="219">
        <v>189.09280000000001</v>
      </c>
      <c r="M211" s="219">
        <v>210.52979999999999</v>
      </c>
      <c r="N211" s="219">
        <v>1530.54845</v>
      </c>
    </row>
    <row r="212" spans="1:14" x14ac:dyDescent="0.2">
      <c r="A212" t="s">
        <v>85</v>
      </c>
      <c r="B212" s="219">
        <v>218.0204</v>
      </c>
      <c r="C212" s="219">
        <v>175.97559999999999</v>
      </c>
      <c r="D212" s="219">
        <v>151.05029999999999</v>
      </c>
      <c r="E212" s="219">
        <v>96.460999999999999</v>
      </c>
      <c r="F212" s="219">
        <v>57.468069999999997</v>
      </c>
      <c r="G212" s="219">
        <v>39.536569999999998</v>
      </c>
      <c r="H212" s="219">
        <v>51.987119999999997</v>
      </c>
      <c r="I212" s="219">
        <v>74.627880000000005</v>
      </c>
      <c r="J212" s="219">
        <v>110.4372</v>
      </c>
      <c r="K212" s="219">
        <v>154.63570000000001</v>
      </c>
      <c r="L212" s="219">
        <v>191.21879999999999</v>
      </c>
      <c r="M212" s="219">
        <v>212.6764</v>
      </c>
      <c r="N212" s="219">
        <v>1534.0950399999999</v>
      </c>
    </row>
    <row r="213" spans="1:14" x14ac:dyDescent="0.2">
      <c r="A213" t="s">
        <v>86</v>
      </c>
      <c r="B213" s="219">
        <v>213.45699999999999</v>
      </c>
      <c r="C213" s="219">
        <v>161.16560000000001</v>
      </c>
      <c r="D213" s="219">
        <v>143.01990000000001</v>
      </c>
      <c r="E213" s="219">
        <v>94.582790000000003</v>
      </c>
      <c r="F213" s="219">
        <v>54.437089999999998</v>
      </c>
      <c r="G213" s="219">
        <v>43.29139</v>
      </c>
      <c r="H213" s="219">
        <v>47.437089999999998</v>
      </c>
      <c r="I213" s="219">
        <v>73.582790000000003</v>
      </c>
      <c r="J213" s="219">
        <v>108.7285</v>
      </c>
      <c r="K213" s="219">
        <v>158.16560000000001</v>
      </c>
      <c r="L213" s="219">
        <v>185.16560000000001</v>
      </c>
      <c r="M213" s="219">
        <v>206.6027</v>
      </c>
      <c r="N213" s="219">
        <v>1489.6360500000001</v>
      </c>
    </row>
    <row r="214" spans="1:14" x14ac:dyDescent="0.2">
      <c r="A214" t="s">
        <v>87</v>
      </c>
      <c r="B214" s="219">
        <v>245</v>
      </c>
      <c r="C214" s="219">
        <v>195</v>
      </c>
      <c r="D214" s="219">
        <v>170</v>
      </c>
      <c r="E214" s="219">
        <v>110</v>
      </c>
      <c r="F214" s="219">
        <v>75</v>
      </c>
      <c r="G214" s="219">
        <v>57</v>
      </c>
      <c r="H214" s="219">
        <v>69</v>
      </c>
      <c r="I214" s="219">
        <v>92</v>
      </c>
      <c r="J214" s="219">
        <v>126</v>
      </c>
      <c r="K214" s="219">
        <v>180</v>
      </c>
      <c r="L214" s="219">
        <v>221</v>
      </c>
      <c r="M214" s="219">
        <v>248</v>
      </c>
      <c r="N214" s="219">
        <v>1788</v>
      </c>
    </row>
    <row r="215" spans="1:14" x14ac:dyDescent="0.2">
      <c r="A215" t="s">
        <v>88</v>
      </c>
      <c r="B215" s="219">
        <v>253</v>
      </c>
      <c r="C215" s="219">
        <v>203</v>
      </c>
      <c r="D215" s="219">
        <v>176</v>
      </c>
      <c r="E215" s="219">
        <v>116</v>
      </c>
      <c r="F215" s="219">
        <v>79</v>
      </c>
      <c r="G215" s="219">
        <v>60</v>
      </c>
      <c r="H215" s="219">
        <v>73</v>
      </c>
      <c r="I215" s="219">
        <v>98</v>
      </c>
      <c r="J215" s="219">
        <v>132</v>
      </c>
      <c r="K215" s="219">
        <v>188</v>
      </c>
      <c r="L215" s="219">
        <v>230</v>
      </c>
      <c r="M215" s="219">
        <v>258</v>
      </c>
      <c r="N215" s="219">
        <v>1866</v>
      </c>
    </row>
    <row r="216" spans="1:14" x14ac:dyDescent="0.2">
      <c r="A216" t="s">
        <v>89</v>
      </c>
      <c r="B216" s="219">
        <v>220</v>
      </c>
      <c r="C216" s="219">
        <v>177</v>
      </c>
      <c r="D216" s="219">
        <v>154</v>
      </c>
      <c r="E216" s="219">
        <v>98</v>
      </c>
      <c r="F216" s="219">
        <v>60</v>
      </c>
      <c r="G216" s="219">
        <v>42</v>
      </c>
      <c r="H216" s="219">
        <v>55</v>
      </c>
      <c r="I216" s="219">
        <v>77</v>
      </c>
      <c r="J216" s="219">
        <v>112</v>
      </c>
      <c r="K216" s="219">
        <v>157</v>
      </c>
      <c r="L216" s="219">
        <v>193</v>
      </c>
      <c r="M216" s="219">
        <v>216</v>
      </c>
      <c r="N216" s="219">
        <v>1561</v>
      </c>
    </row>
    <row r="217" spans="1:14" x14ac:dyDescent="0.2">
      <c r="A217" t="s">
        <v>90</v>
      </c>
      <c r="B217" s="219">
        <v>203.8475</v>
      </c>
      <c r="C217" s="219">
        <v>169.45740000000001</v>
      </c>
      <c r="D217" s="219">
        <v>141.45740000000001</v>
      </c>
      <c r="E217" s="219">
        <v>88.304929999999999</v>
      </c>
      <c r="F217" s="219">
        <v>56.152470000000001</v>
      </c>
      <c r="G217" s="219">
        <v>41.304929999999999</v>
      </c>
      <c r="H217" s="219">
        <v>47.304929999999999</v>
      </c>
      <c r="I217" s="219">
        <v>71.304929999999999</v>
      </c>
      <c r="J217" s="219">
        <v>101.3049</v>
      </c>
      <c r="K217" s="219">
        <v>146.91480000000001</v>
      </c>
      <c r="L217" s="219">
        <v>168.3049</v>
      </c>
      <c r="M217" s="219">
        <v>195.3049</v>
      </c>
      <c r="N217" s="219">
        <v>1430.9639900000002</v>
      </c>
    </row>
    <row r="218" spans="1:14" x14ac:dyDescent="0.2">
      <c r="A218" t="s">
        <v>91</v>
      </c>
      <c r="B218" s="219">
        <v>247.0463</v>
      </c>
      <c r="C218" s="219">
        <v>203.298</v>
      </c>
      <c r="D218" s="219">
        <v>171.44290000000001</v>
      </c>
      <c r="E218" s="219">
        <v>121.206</v>
      </c>
      <c r="F218" s="219">
        <v>91.798109999999994</v>
      </c>
      <c r="G218" s="219">
        <v>69.465419999999995</v>
      </c>
      <c r="H218" s="219">
        <v>80.319270000000003</v>
      </c>
      <c r="I218" s="219">
        <v>100.536</v>
      </c>
      <c r="J218" s="219">
        <v>132.66149999999999</v>
      </c>
      <c r="K218" s="219">
        <v>189.0437</v>
      </c>
      <c r="L218" s="219">
        <v>224.92519999999999</v>
      </c>
      <c r="M218" s="219">
        <v>257.81040000000002</v>
      </c>
      <c r="N218" s="219">
        <v>1889.5527999999997</v>
      </c>
    </row>
    <row r="219" spans="1:14" x14ac:dyDescent="0.2">
      <c r="A219" t="s">
        <v>92</v>
      </c>
      <c r="B219" s="219">
        <v>215.8578</v>
      </c>
      <c r="C219" s="219">
        <v>172.28659999999999</v>
      </c>
      <c r="D219" s="219">
        <v>149.28659999999999</v>
      </c>
      <c r="E219" s="219">
        <v>96.428880000000007</v>
      </c>
      <c r="F219" s="219">
        <v>62.142229999999998</v>
      </c>
      <c r="G219" s="219">
        <v>45.713349999999998</v>
      </c>
      <c r="H219" s="219">
        <v>57.713349999999998</v>
      </c>
      <c r="I219" s="219">
        <v>79.142229999999998</v>
      </c>
      <c r="J219" s="219">
        <v>111</v>
      </c>
      <c r="K219" s="219">
        <v>155.5711</v>
      </c>
      <c r="L219" s="219">
        <v>192</v>
      </c>
      <c r="M219" s="219">
        <v>214.4289</v>
      </c>
      <c r="N219" s="219">
        <v>1551.5710400000003</v>
      </c>
    </row>
    <row r="220" spans="1:14" x14ac:dyDescent="0.2">
      <c r="A220" t="s">
        <v>93</v>
      </c>
      <c r="B220" s="219">
        <v>223.2456</v>
      </c>
      <c r="C220" s="219">
        <v>197.77520000000001</v>
      </c>
      <c r="D220" s="219">
        <v>199.56790000000001</v>
      </c>
      <c r="E220" s="219">
        <v>178.19130000000001</v>
      </c>
      <c r="F220" s="219">
        <v>171.1498</v>
      </c>
      <c r="G220" s="219">
        <v>149.52189999999999</v>
      </c>
      <c r="H220" s="219">
        <v>161.64959999999999</v>
      </c>
      <c r="I220" s="219">
        <v>177.66720000000001</v>
      </c>
      <c r="J220" s="219">
        <v>199.19229999999999</v>
      </c>
      <c r="K220" s="219">
        <v>245.67400000000001</v>
      </c>
      <c r="L220" s="219">
        <v>266.39769999999999</v>
      </c>
      <c r="M220" s="219">
        <v>257.30340000000001</v>
      </c>
      <c r="N220" s="219">
        <v>2427.3359</v>
      </c>
    </row>
    <row r="221" spans="1:14" x14ac:dyDescent="0.2">
      <c r="A221" t="s">
        <v>94</v>
      </c>
      <c r="B221" s="219">
        <v>217.3177</v>
      </c>
      <c r="C221" s="219">
        <v>173.79230000000001</v>
      </c>
      <c r="D221" s="219">
        <v>151.29949999999999</v>
      </c>
      <c r="E221" s="219">
        <v>97.015309999999999</v>
      </c>
      <c r="F221" s="219">
        <v>61.256419999999999</v>
      </c>
      <c r="G221" s="219">
        <v>43.987520000000004</v>
      </c>
      <c r="H221" s="219">
        <v>56.274569999999997</v>
      </c>
      <c r="I221" s="219">
        <v>78.256420000000006</v>
      </c>
      <c r="J221" s="219">
        <v>111.7942</v>
      </c>
      <c r="K221" s="219">
        <v>155.8458</v>
      </c>
      <c r="L221" s="219">
        <v>192.28700000000001</v>
      </c>
      <c r="M221" s="219">
        <v>214.76169999999999</v>
      </c>
      <c r="N221" s="219">
        <v>1553.8884400000002</v>
      </c>
    </row>
    <row r="222" spans="1:14" x14ac:dyDescent="0.2">
      <c r="A222" t="s">
        <v>95</v>
      </c>
      <c r="B222" s="219">
        <v>215.4956</v>
      </c>
      <c r="C222" s="219">
        <v>171.17</v>
      </c>
      <c r="D222" s="219">
        <v>149.81389999999999</v>
      </c>
      <c r="E222" s="219">
        <v>96.515209999999996</v>
      </c>
      <c r="F222" s="219">
        <v>61.652290000000001</v>
      </c>
      <c r="G222" s="219">
        <v>44.137219999999999</v>
      </c>
      <c r="H222" s="219">
        <v>55.652430000000003</v>
      </c>
      <c r="I222" s="219">
        <v>78.811139999999995</v>
      </c>
      <c r="J222" s="219">
        <v>112.4055</v>
      </c>
      <c r="K222" s="219">
        <v>156.3261</v>
      </c>
      <c r="L222" s="219">
        <v>191.2766</v>
      </c>
      <c r="M222" s="219">
        <v>212.79169999999999</v>
      </c>
      <c r="N222" s="219">
        <v>1546.0476899999999</v>
      </c>
    </row>
    <row r="223" spans="1:14" x14ac:dyDescent="0.2">
      <c r="A223" t="s">
        <v>96</v>
      </c>
      <c r="B223" s="219">
        <v>233.4623</v>
      </c>
      <c r="C223" s="219">
        <v>195.90719999999999</v>
      </c>
      <c r="D223" s="219">
        <v>160.9083</v>
      </c>
      <c r="E223" s="219">
        <v>103.2552</v>
      </c>
      <c r="F223" s="219">
        <v>66.830770000000001</v>
      </c>
      <c r="G223" s="219">
        <v>47.329529999999998</v>
      </c>
      <c r="H223" s="219">
        <v>51.409350000000003</v>
      </c>
      <c r="I223" s="219">
        <v>73.011920000000003</v>
      </c>
      <c r="J223" s="219">
        <v>104.4362</v>
      </c>
      <c r="K223" s="219">
        <v>157.5934</v>
      </c>
      <c r="L223" s="219">
        <v>191.03299999999999</v>
      </c>
      <c r="M223" s="219">
        <v>222.38310000000001</v>
      </c>
      <c r="N223" s="219">
        <v>1607.5602700000002</v>
      </c>
    </row>
    <row r="224" spans="1:14" x14ac:dyDescent="0.2">
      <c r="A224" t="s">
        <v>97</v>
      </c>
      <c r="B224" s="219">
        <v>244.92</v>
      </c>
      <c r="C224" s="219">
        <v>197.85820000000001</v>
      </c>
      <c r="D224" s="219">
        <v>169.38910000000001</v>
      </c>
      <c r="E224" s="219">
        <v>116</v>
      </c>
      <c r="F224" s="219">
        <v>80.469089999999994</v>
      </c>
      <c r="G224" s="219">
        <v>60.734540000000003</v>
      </c>
      <c r="H224" s="219">
        <v>74.469089999999994</v>
      </c>
      <c r="I224" s="219">
        <v>98.734539999999996</v>
      </c>
      <c r="J224" s="219">
        <v>133.4691</v>
      </c>
      <c r="K224" s="219">
        <v>185.06180000000001</v>
      </c>
      <c r="L224" s="219">
        <v>223.38910000000001</v>
      </c>
      <c r="M224" s="219">
        <v>249.18549999999999</v>
      </c>
      <c r="N224" s="219">
        <v>1833.6800599999999</v>
      </c>
    </row>
    <row r="225" spans="1:14" x14ac:dyDescent="0.2">
      <c r="A225" t="s">
        <v>98</v>
      </c>
      <c r="B225" s="219">
        <v>200.86109999999999</v>
      </c>
      <c r="C225" s="219">
        <v>169.93090000000001</v>
      </c>
      <c r="D225" s="219">
        <v>138.04320000000001</v>
      </c>
      <c r="E225" s="219">
        <v>84.58596</v>
      </c>
      <c r="F225" s="219">
        <v>54.036360000000002</v>
      </c>
      <c r="G225" s="219">
        <v>39.058250000000001</v>
      </c>
      <c r="H225" s="219">
        <v>45.54815</v>
      </c>
      <c r="I225" s="219">
        <v>69.021079999999998</v>
      </c>
      <c r="J225" s="219">
        <v>98.515510000000006</v>
      </c>
      <c r="K225" s="219">
        <v>136.14259999999999</v>
      </c>
      <c r="L225" s="219">
        <v>160.06139999999999</v>
      </c>
      <c r="M225" s="219">
        <v>192.3158</v>
      </c>
      <c r="N225" s="219">
        <v>1388.1203100000002</v>
      </c>
    </row>
    <row r="226" spans="1:14" x14ac:dyDescent="0.2">
      <c r="A226" t="s">
        <v>99</v>
      </c>
      <c r="B226" s="219">
        <v>217.08250000000001</v>
      </c>
      <c r="C226" s="219">
        <v>174.24760000000001</v>
      </c>
      <c r="D226" s="219">
        <v>151.08250000000001</v>
      </c>
      <c r="E226" s="219">
        <v>96.917479999999998</v>
      </c>
      <c r="F226" s="219">
        <v>60.752429999999997</v>
      </c>
      <c r="G226" s="219">
        <v>43.504869999999997</v>
      </c>
      <c r="H226" s="219">
        <v>55.669910000000002</v>
      </c>
      <c r="I226" s="219">
        <v>77.752430000000004</v>
      </c>
      <c r="J226" s="219">
        <v>110.83499999999999</v>
      </c>
      <c r="K226" s="219">
        <v>154.83500000000001</v>
      </c>
      <c r="L226" s="219">
        <v>191.91749999999999</v>
      </c>
      <c r="M226" s="219">
        <v>214.83500000000001</v>
      </c>
      <c r="N226" s="219">
        <v>1549.4322199999999</v>
      </c>
    </row>
    <row r="227" spans="1:14" x14ac:dyDescent="0.2">
      <c r="A227" t="s">
        <v>100</v>
      </c>
      <c r="B227" s="219">
        <v>221</v>
      </c>
      <c r="C227" s="219">
        <v>169</v>
      </c>
      <c r="D227" s="219">
        <v>149</v>
      </c>
      <c r="E227" s="219">
        <v>98</v>
      </c>
      <c r="F227" s="219">
        <v>58</v>
      </c>
      <c r="G227" s="219">
        <v>45</v>
      </c>
      <c r="H227" s="219">
        <v>50</v>
      </c>
      <c r="I227" s="219">
        <v>77</v>
      </c>
      <c r="J227" s="219">
        <v>113</v>
      </c>
      <c r="K227" s="219">
        <v>164</v>
      </c>
      <c r="L227" s="219">
        <v>192</v>
      </c>
      <c r="M227" s="219">
        <v>214</v>
      </c>
      <c r="N227" s="219">
        <v>1550</v>
      </c>
    </row>
    <row r="228" spans="1:14" x14ac:dyDescent="0.2">
      <c r="A228" t="s">
        <v>101</v>
      </c>
      <c r="B228" s="219">
        <v>162.46</v>
      </c>
      <c r="C228" s="219">
        <v>114.64870000000001</v>
      </c>
      <c r="D228" s="219">
        <v>90.549449999999993</v>
      </c>
      <c r="E228" s="219">
        <v>47.912410000000001</v>
      </c>
      <c r="F228" s="219">
        <v>24.883089999999999</v>
      </c>
      <c r="G228" s="219">
        <v>13.66817</v>
      </c>
      <c r="H228" s="219">
        <v>17.87763</v>
      </c>
      <c r="I228" s="219">
        <v>32.5764</v>
      </c>
      <c r="J228" s="219">
        <v>73.26164</v>
      </c>
      <c r="K228" s="219">
        <v>113.8263</v>
      </c>
      <c r="L228" s="219">
        <v>160.7997</v>
      </c>
      <c r="M228" s="219">
        <v>173.3777</v>
      </c>
      <c r="N228" s="219">
        <v>1025.8411899999999</v>
      </c>
    </row>
    <row r="229" spans="1:14" x14ac:dyDescent="0.2">
      <c r="A229" t="s">
        <v>102</v>
      </c>
      <c r="B229" s="219">
        <v>221.5651</v>
      </c>
      <c r="C229" s="219">
        <v>197.39570000000001</v>
      </c>
      <c r="D229" s="219">
        <v>199.7483</v>
      </c>
      <c r="E229" s="219">
        <v>162.34819999999999</v>
      </c>
      <c r="F229" s="219">
        <v>150.23490000000001</v>
      </c>
      <c r="G229" s="219">
        <v>137.69589999999999</v>
      </c>
      <c r="H229" s="219">
        <v>144.8117</v>
      </c>
      <c r="I229" s="219">
        <v>158.8981</v>
      </c>
      <c r="J229" s="219">
        <v>178.6902</v>
      </c>
      <c r="K229" s="219">
        <v>226.9067</v>
      </c>
      <c r="L229" s="219">
        <v>237.173</v>
      </c>
      <c r="M229" s="219">
        <v>248.54089999999999</v>
      </c>
      <c r="N229" s="219">
        <v>2264.0087000000003</v>
      </c>
    </row>
    <row r="230" spans="1:14" x14ac:dyDescent="0.2">
      <c r="A230" t="s">
        <v>103</v>
      </c>
      <c r="B230" s="219">
        <v>171.06479999999999</v>
      </c>
      <c r="C230" s="219">
        <v>120.1087</v>
      </c>
      <c r="D230" s="219">
        <v>95.657269999999997</v>
      </c>
      <c r="E230" s="219">
        <v>50.499980000000001</v>
      </c>
      <c r="F230" s="219">
        <v>26.358930000000001</v>
      </c>
      <c r="G230" s="219">
        <v>14.56073</v>
      </c>
      <c r="H230" s="219">
        <v>18.760190000000001</v>
      </c>
      <c r="I230" s="219">
        <v>32.98677</v>
      </c>
      <c r="J230" s="219">
        <v>75.62912</v>
      </c>
      <c r="K230" s="219">
        <v>116.27849999999999</v>
      </c>
      <c r="L230" s="219">
        <v>166.93899999999999</v>
      </c>
      <c r="M230" s="219">
        <v>179.74639999999999</v>
      </c>
      <c r="N230" s="219">
        <v>1068.5903899999998</v>
      </c>
    </row>
    <row r="231" spans="1:14" x14ac:dyDescent="0.2">
      <c r="A231" t="s">
        <v>104</v>
      </c>
      <c r="B231" s="219">
        <v>253</v>
      </c>
      <c r="C231" s="219">
        <v>203</v>
      </c>
      <c r="D231" s="219">
        <v>176</v>
      </c>
      <c r="E231" s="219">
        <v>116</v>
      </c>
      <c r="F231" s="219">
        <v>79</v>
      </c>
      <c r="G231" s="219">
        <v>60</v>
      </c>
      <c r="H231" s="219">
        <v>73</v>
      </c>
      <c r="I231" s="219">
        <v>98</v>
      </c>
      <c r="J231" s="219">
        <v>132</v>
      </c>
      <c r="K231" s="219">
        <v>188</v>
      </c>
      <c r="L231" s="219">
        <v>230</v>
      </c>
      <c r="M231" s="219">
        <v>258</v>
      </c>
      <c r="N231" s="219">
        <v>1866</v>
      </c>
    </row>
    <row r="232" spans="1:14" x14ac:dyDescent="0.2">
      <c r="A232" t="s">
        <v>105</v>
      </c>
      <c r="B232" s="219">
        <v>190.38839999999999</v>
      </c>
      <c r="C232" s="219">
        <v>147.74850000000001</v>
      </c>
      <c r="D232" s="219">
        <v>131.04929999999999</v>
      </c>
      <c r="E232" s="219">
        <v>88.042100000000005</v>
      </c>
      <c r="F232" s="219">
        <v>62.538530000000002</v>
      </c>
      <c r="G232" s="219">
        <v>49.269269999999999</v>
      </c>
      <c r="H232" s="219">
        <v>57.604979999999998</v>
      </c>
      <c r="I232" s="219">
        <v>81.706389999999999</v>
      </c>
      <c r="J232" s="219">
        <v>109.37779999999999</v>
      </c>
      <c r="K232" s="219">
        <v>145.4128</v>
      </c>
      <c r="L232" s="219">
        <v>173.18559999999999</v>
      </c>
      <c r="M232" s="219">
        <v>191.28700000000001</v>
      </c>
      <c r="N232" s="219">
        <v>1427.61067</v>
      </c>
    </row>
    <row r="233" spans="1:14" x14ac:dyDescent="0.2">
      <c r="A233" t="s">
        <v>106</v>
      </c>
      <c r="B233" s="219">
        <v>205.99440000000001</v>
      </c>
      <c r="C233" s="219">
        <v>174.7338</v>
      </c>
      <c r="D233" s="219">
        <v>141.25290000000001</v>
      </c>
      <c r="E233" s="219">
        <v>90.352999999999994</v>
      </c>
      <c r="F233" s="219">
        <v>58.304229999999997</v>
      </c>
      <c r="G233" s="219">
        <v>45.034750000000003</v>
      </c>
      <c r="H233" s="219">
        <v>50.123869999999997</v>
      </c>
      <c r="I233" s="219">
        <v>71.763229999999993</v>
      </c>
      <c r="J233" s="219">
        <v>99.127120000000005</v>
      </c>
      <c r="K233" s="219">
        <v>147.67509999999999</v>
      </c>
      <c r="L233" s="219">
        <v>175.4186</v>
      </c>
      <c r="M233" s="219">
        <v>202.27279999999999</v>
      </c>
      <c r="N233" s="219">
        <v>1462.0537999999999</v>
      </c>
    </row>
    <row r="234" spans="1:14" x14ac:dyDescent="0.2">
      <c r="A234" t="s">
        <v>107</v>
      </c>
      <c r="B234" s="219">
        <v>245</v>
      </c>
      <c r="C234" s="219">
        <v>195</v>
      </c>
      <c r="D234" s="219">
        <v>170</v>
      </c>
      <c r="E234" s="219">
        <v>110</v>
      </c>
      <c r="F234" s="219">
        <v>75</v>
      </c>
      <c r="G234" s="219">
        <v>57</v>
      </c>
      <c r="H234" s="219">
        <v>69</v>
      </c>
      <c r="I234" s="219">
        <v>92</v>
      </c>
      <c r="J234" s="219">
        <v>126</v>
      </c>
      <c r="K234" s="219">
        <v>180</v>
      </c>
      <c r="L234" s="219">
        <v>221</v>
      </c>
      <c r="M234" s="219">
        <v>248</v>
      </c>
      <c r="N234" s="219">
        <v>1788</v>
      </c>
    </row>
    <row r="235" spans="1:14" x14ac:dyDescent="0.2">
      <c r="A235" t="s">
        <v>108</v>
      </c>
      <c r="B235" s="219">
        <v>253</v>
      </c>
      <c r="C235" s="219">
        <v>203</v>
      </c>
      <c r="D235" s="219">
        <v>176</v>
      </c>
      <c r="E235" s="219">
        <v>116</v>
      </c>
      <c r="F235" s="219">
        <v>79</v>
      </c>
      <c r="G235" s="219">
        <v>60</v>
      </c>
      <c r="H235" s="219">
        <v>73</v>
      </c>
      <c r="I235" s="219">
        <v>98</v>
      </c>
      <c r="J235" s="219">
        <v>132</v>
      </c>
      <c r="K235" s="219">
        <v>188</v>
      </c>
      <c r="L235" s="219">
        <v>230</v>
      </c>
      <c r="M235" s="219">
        <v>258</v>
      </c>
      <c r="N235" s="219">
        <v>1866</v>
      </c>
    </row>
    <row r="236" spans="1:14" x14ac:dyDescent="0.2">
      <c r="A236" t="s">
        <v>109</v>
      </c>
      <c r="B236" s="219">
        <v>177.047</v>
      </c>
      <c r="C236" s="219">
        <v>150.35679999999999</v>
      </c>
      <c r="D236" s="219">
        <v>112.4218</v>
      </c>
      <c r="E236" s="219">
        <v>72.853149999999999</v>
      </c>
      <c r="F236" s="219">
        <v>44.144509999999997</v>
      </c>
      <c r="G236" s="219">
        <v>32.395890000000001</v>
      </c>
      <c r="H236" s="219">
        <v>38.129600000000003</v>
      </c>
      <c r="I236" s="219">
        <v>59.457259999999998</v>
      </c>
      <c r="J236" s="219">
        <v>84.935220000000001</v>
      </c>
      <c r="K236" s="219">
        <v>121.01130000000001</v>
      </c>
      <c r="L236" s="219">
        <v>145.94630000000001</v>
      </c>
      <c r="M236" s="219">
        <v>173.30179999999999</v>
      </c>
      <c r="N236" s="219">
        <v>1212.00063</v>
      </c>
    </row>
    <row r="237" spans="1:14" x14ac:dyDescent="0.2">
      <c r="A237" t="s">
        <v>110</v>
      </c>
      <c r="B237" s="219">
        <v>183.17750000000001</v>
      </c>
      <c r="C237" s="219">
        <v>154.39189999999999</v>
      </c>
      <c r="D237" s="219">
        <v>117.193</v>
      </c>
      <c r="E237" s="219">
        <v>75.614109999999997</v>
      </c>
      <c r="F237" s="219">
        <v>46.874519999999997</v>
      </c>
      <c r="G237" s="219">
        <v>34.554459999999999</v>
      </c>
      <c r="H237" s="219">
        <v>40.601979999999998</v>
      </c>
      <c r="I237" s="219">
        <v>61.707160000000002</v>
      </c>
      <c r="J237" s="219">
        <v>87.521550000000005</v>
      </c>
      <c r="K237" s="219">
        <v>124.8798</v>
      </c>
      <c r="L237" s="219">
        <v>150.62049999999999</v>
      </c>
      <c r="M237" s="219">
        <v>179.7474</v>
      </c>
      <c r="N237" s="219">
        <v>1256.8838800000001</v>
      </c>
    </row>
    <row r="238" spans="1:14" x14ac:dyDescent="0.2">
      <c r="A238" t="s">
        <v>111</v>
      </c>
      <c r="B238" s="219">
        <v>187.55410000000001</v>
      </c>
      <c r="C238" s="219">
        <v>157.14279999999999</v>
      </c>
      <c r="D238" s="219">
        <v>122.8912</v>
      </c>
      <c r="E238" s="219">
        <v>79.195930000000004</v>
      </c>
      <c r="F238" s="219">
        <v>48.98265</v>
      </c>
      <c r="G238" s="219">
        <v>38.185969999999998</v>
      </c>
      <c r="H238" s="219">
        <v>42.132440000000003</v>
      </c>
      <c r="I238" s="219">
        <v>61.988889999999998</v>
      </c>
      <c r="J238" s="219">
        <v>86.504390000000001</v>
      </c>
      <c r="K238" s="219">
        <v>129.88849999999999</v>
      </c>
      <c r="L238" s="219">
        <v>159.95169999999999</v>
      </c>
      <c r="M238" s="219">
        <v>186.92359999999999</v>
      </c>
      <c r="N238" s="219">
        <v>1301.3421700000001</v>
      </c>
    </row>
    <row r="239" spans="1:14" x14ac:dyDescent="0.2">
      <c r="A239" t="s">
        <v>112</v>
      </c>
      <c r="B239" s="219">
        <v>218.82660000000001</v>
      </c>
      <c r="C239" s="219">
        <v>175.35499999999999</v>
      </c>
      <c r="D239" s="219">
        <v>152.81530000000001</v>
      </c>
      <c r="E239" s="219">
        <v>97.367429999999999</v>
      </c>
      <c r="F239" s="219">
        <v>60.471609999999998</v>
      </c>
      <c r="G239" s="219">
        <v>42.471609999999998</v>
      </c>
      <c r="H239" s="219">
        <v>54.861600000000003</v>
      </c>
      <c r="I239" s="219">
        <v>77.529529999999994</v>
      </c>
      <c r="J239" s="219">
        <v>111.9195</v>
      </c>
      <c r="K239" s="219">
        <v>156.3561</v>
      </c>
      <c r="L239" s="219">
        <v>192.4366</v>
      </c>
      <c r="M239" s="219">
        <v>214.81530000000001</v>
      </c>
      <c r="N239" s="219">
        <v>1555.2261799999999</v>
      </c>
    </row>
    <row r="240" spans="1:14" x14ac:dyDescent="0.2">
      <c r="A240" t="s">
        <v>113</v>
      </c>
      <c r="B240" s="219">
        <v>228.55260000000001</v>
      </c>
      <c r="C240" s="219">
        <v>186.07220000000001</v>
      </c>
      <c r="D240" s="219">
        <v>165.10230000000001</v>
      </c>
      <c r="E240" s="219">
        <v>119.4298</v>
      </c>
      <c r="F240" s="219">
        <v>90.880949999999999</v>
      </c>
      <c r="G240" s="219">
        <v>75.616110000000006</v>
      </c>
      <c r="H240" s="219">
        <v>84.762029999999996</v>
      </c>
      <c r="I240" s="219">
        <v>104.8484</v>
      </c>
      <c r="J240" s="219">
        <v>135.97200000000001</v>
      </c>
      <c r="K240" s="219">
        <v>187.8005</v>
      </c>
      <c r="L240" s="219">
        <v>214.55260000000001</v>
      </c>
      <c r="M240" s="219">
        <v>239.02510000000001</v>
      </c>
      <c r="N240" s="219">
        <v>1832.6145900000001</v>
      </c>
    </row>
    <row r="241" spans="1:14" x14ac:dyDescent="0.2">
      <c r="A241" t="s">
        <v>114</v>
      </c>
      <c r="B241" s="219">
        <v>140.64269999999999</v>
      </c>
      <c r="C241" s="219">
        <v>97.049949999999995</v>
      </c>
      <c r="D241" s="219">
        <v>78.957660000000004</v>
      </c>
      <c r="E241" s="219">
        <v>40.785150000000002</v>
      </c>
      <c r="F241" s="219">
        <v>21.62632</v>
      </c>
      <c r="G241" s="219">
        <v>11.43178</v>
      </c>
      <c r="H241" s="219">
        <v>14.85289</v>
      </c>
      <c r="I241" s="219">
        <v>26.805859999999999</v>
      </c>
      <c r="J241" s="219">
        <v>62.0625</v>
      </c>
      <c r="K241" s="219">
        <v>93.489680000000007</v>
      </c>
      <c r="L241" s="219">
        <v>135.91239999999999</v>
      </c>
      <c r="M241" s="219">
        <v>148.82650000000001</v>
      </c>
      <c r="N241" s="219">
        <v>872.44339000000002</v>
      </c>
    </row>
    <row r="242" spans="1:14" x14ac:dyDescent="0.2">
      <c r="A242" t="s">
        <v>115</v>
      </c>
      <c r="B242" s="219">
        <v>169.38120000000001</v>
      </c>
      <c r="C242" s="219">
        <v>145.79509999999999</v>
      </c>
      <c r="D242" s="219">
        <v>107.4632</v>
      </c>
      <c r="E242" s="219">
        <v>68.127070000000003</v>
      </c>
      <c r="F242" s="219">
        <v>42.56353</v>
      </c>
      <c r="G242" s="219">
        <v>29.66807</v>
      </c>
      <c r="H242" s="219">
        <v>35.56353</v>
      </c>
      <c r="I242" s="219">
        <v>56.231610000000003</v>
      </c>
      <c r="J242" s="219">
        <v>84.231610000000003</v>
      </c>
      <c r="K242" s="219">
        <v>119.67230000000001</v>
      </c>
      <c r="L242" s="219">
        <v>143.8997</v>
      </c>
      <c r="M242" s="219">
        <v>166.4632</v>
      </c>
      <c r="N242" s="219">
        <v>1169.0601200000001</v>
      </c>
    </row>
    <row r="243" spans="1:14" x14ac:dyDescent="0.2">
      <c r="A243" t="s">
        <v>116</v>
      </c>
      <c r="B243" s="219">
        <v>204.69380000000001</v>
      </c>
      <c r="C243" s="219">
        <v>163.50450000000001</v>
      </c>
      <c r="D243" s="219">
        <v>138.36269999999999</v>
      </c>
      <c r="E243" s="219">
        <v>88.700490000000002</v>
      </c>
      <c r="F243" s="219">
        <v>53.76361</v>
      </c>
      <c r="G243" s="219">
        <v>41.126249999999999</v>
      </c>
      <c r="H243" s="219">
        <v>46.700490000000002</v>
      </c>
      <c r="I243" s="219">
        <v>70.292789999999997</v>
      </c>
      <c r="J243" s="219">
        <v>102.96169999999999</v>
      </c>
      <c r="K243" s="219">
        <v>147.70500000000001</v>
      </c>
      <c r="L243" s="219">
        <v>174.12620000000001</v>
      </c>
      <c r="M243" s="219">
        <v>197.18940000000001</v>
      </c>
      <c r="N243" s="219">
        <v>1429.1269299999999</v>
      </c>
    </row>
    <row r="244" spans="1:14" x14ac:dyDescent="0.2">
      <c r="A244" t="s">
        <v>117</v>
      </c>
      <c r="B244" s="219">
        <v>183.7011</v>
      </c>
      <c r="C244" s="219">
        <v>157.14619999999999</v>
      </c>
      <c r="D244" s="219">
        <v>116.5718</v>
      </c>
      <c r="E244" s="219">
        <v>75.787629999999993</v>
      </c>
      <c r="F244" s="219">
        <v>46.908290000000001</v>
      </c>
      <c r="G244" s="219">
        <v>33.5182</v>
      </c>
      <c r="H244" s="219">
        <v>40.427419999999998</v>
      </c>
      <c r="I244" s="219">
        <v>62.538469999999997</v>
      </c>
      <c r="J244" s="219">
        <v>90.183689999999999</v>
      </c>
      <c r="K244" s="219">
        <v>124.1478</v>
      </c>
      <c r="L244" s="219">
        <v>148.4862</v>
      </c>
      <c r="M244" s="219">
        <v>178.64619999999999</v>
      </c>
      <c r="N244" s="219">
        <v>1258.0629999999996</v>
      </c>
    </row>
    <row r="245" spans="1:14" x14ac:dyDescent="0.2">
      <c r="A245" t="s">
        <v>118</v>
      </c>
      <c r="B245" s="219">
        <v>250.73500000000001</v>
      </c>
      <c r="C245" s="219">
        <v>214.21109999999999</v>
      </c>
      <c r="D245" s="219">
        <v>176.63380000000001</v>
      </c>
      <c r="E245" s="219">
        <v>129.0162</v>
      </c>
      <c r="F245" s="219">
        <v>100.1035</v>
      </c>
      <c r="G245" s="219">
        <v>68.451490000000007</v>
      </c>
      <c r="H245" s="219">
        <v>82.478290000000001</v>
      </c>
      <c r="I245" s="219">
        <v>100.25960000000001</v>
      </c>
      <c r="J245" s="219">
        <v>134.21549999999999</v>
      </c>
      <c r="K245" s="219">
        <v>179.46950000000001</v>
      </c>
      <c r="L245" s="219">
        <v>216.4522</v>
      </c>
      <c r="M245" s="219">
        <v>257.48200000000003</v>
      </c>
      <c r="N245" s="219">
        <v>1909.5081799999998</v>
      </c>
    </row>
    <row r="246" spans="1:14" x14ac:dyDescent="0.2">
      <c r="A246" t="s">
        <v>119</v>
      </c>
      <c r="B246" s="219">
        <v>205.00659999999999</v>
      </c>
      <c r="C246" s="219">
        <v>181.5617</v>
      </c>
      <c r="D246" s="219">
        <v>186.75020000000001</v>
      </c>
      <c r="E246" s="219">
        <v>180.4195</v>
      </c>
      <c r="F246" s="219">
        <v>179.96950000000001</v>
      </c>
      <c r="G246" s="219">
        <v>155.33000000000001</v>
      </c>
      <c r="H246" s="219">
        <v>169.3107</v>
      </c>
      <c r="I246" s="219">
        <v>186.13140000000001</v>
      </c>
      <c r="J246" s="219">
        <v>207.23099999999999</v>
      </c>
      <c r="K246" s="219">
        <v>247.75970000000001</v>
      </c>
      <c r="L246" s="219">
        <v>265.91039999999998</v>
      </c>
      <c r="M246" s="219">
        <v>229.952</v>
      </c>
      <c r="N246" s="219">
        <v>2395.3326999999999</v>
      </c>
    </row>
    <row r="247" spans="1:14" x14ac:dyDescent="0.2">
      <c r="A247" t="s">
        <v>120</v>
      </c>
      <c r="B247" s="219">
        <v>188.86689999999999</v>
      </c>
      <c r="C247" s="219">
        <v>158.47040000000001</v>
      </c>
      <c r="D247" s="219">
        <v>122.995</v>
      </c>
      <c r="E247" s="219">
        <v>79.582740000000001</v>
      </c>
      <c r="F247" s="219">
        <v>49.29195</v>
      </c>
      <c r="G247" s="219">
        <v>37.659829999999999</v>
      </c>
      <c r="H247" s="219">
        <v>42.223909999999997</v>
      </c>
      <c r="I247" s="219">
        <v>63.361690000000003</v>
      </c>
      <c r="J247" s="219">
        <v>88.284120000000001</v>
      </c>
      <c r="K247" s="219">
        <v>130.37</v>
      </c>
      <c r="L247" s="219">
        <v>159.28290000000001</v>
      </c>
      <c r="M247" s="219">
        <v>187.2294</v>
      </c>
      <c r="N247" s="219">
        <v>1307.6188400000001</v>
      </c>
    </row>
    <row r="248" spans="1:14" x14ac:dyDescent="0.2">
      <c r="A248" t="s">
        <v>121</v>
      </c>
      <c r="B248" s="219">
        <v>165.68969999999999</v>
      </c>
      <c r="C248" s="219">
        <v>144.7825</v>
      </c>
      <c r="D248" s="219">
        <v>106.614</v>
      </c>
      <c r="E248" s="219">
        <v>66.858339999999998</v>
      </c>
      <c r="F248" s="219">
        <v>41.853430000000003</v>
      </c>
      <c r="G248" s="219">
        <v>29.855889999999999</v>
      </c>
      <c r="H248" s="219">
        <v>34.853430000000003</v>
      </c>
      <c r="I248" s="219">
        <v>56.026820000000001</v>
      </c>
      <c r="J248" s="219">
        <v>83.772769999999994</v>
      </c>
      <c r="K248" s="219">
        <v>120.5138</v>
      </c>
      <c r="L248" s="219">
        <v>143.72139999999999</v>
      </c>
      <c r="M248" s="219">
        <v>165.52850000000001</v>
      </c>
      <c r="N248" s="219">
        <v>1160.0705800000001</v>
      </c>
    </row>
    <row r="249" spans="1:14" x14ac:dyDescent="0.2">
      <c r="A249" t="s">
        <v>122</v>
      </c>
      <c r="B249" s="219">
        <v>168.75569999999999</v>
      </c>
      <c r="C249" s="219">
        <v>145.7458</v>
      </c>
      <c r="D249" s="219">
        <v>106.7474</v>
      </c>
      <c r="E249" s="219">
        <v>66.874210000000005</v>
      </c>
      <c r="F249" s="219">
        <v>41.285490000000003</v>
      </c>
      <c r="G249" s="219">
        <v>30.442599999999999</v>
      </c>
      <c r="H249" s="219">
        <v>34.0578</v>
      </c>
      <c r="I249" s="219">
        <v>56.801380000000002</v>
      </c>
      <c r="J249" s="219">
        <v>86.189880000000002</v>
      </c>
      <c r="K249" s="219">
        <v>122.6904</v>
      </c>
      <c r="L249" s="219">
        <v>148.84440000000001</v>
      </c>
      <c r="M249" s="219">
        <v>168.8921</v>
      </c>
      <c r="N249" s="219">
        <v>1177.32716</v>
      </c>
    </row>
    <row r="250" spans="1:14" x14ac:dyDescent="0.2">
      <c r="A250" t="s">
        <v>123</v>
      </c>
      <c r="B250" s="219">
        <v>175.18960000000001</v>
      </c>
      <c r="C250" s="219">
        <v>149.17949999999999</v>
      </c>
      <c r="D250" s="219">
        <v>109.7967</v>
      </c>
      <c r="E250" s="219">
        <v>70.392840000000007</v>
      </c>
      <c r="F250" s="219">
        <v>42.403869999999998</v>
      </c>
      <c r="G250" s="219">
        <v>30.19642</v>
      </c>
      <c r="H250" s="219">
        <v>37.175370000000001</v>
      </c>
      <c r="I250" s="219">
        <v>57.579239999999999</v>
      </c>
      <c r="J250" s="219">
        <v>85.589269999999999</v>
      </c>
      <c r="K250" s="219">
        <v>119.05629999999999</v>
      </c>
      <c r="L250" s="219">
        <v>143.2517</v>
      </c>
      <c r="M250" s="219">
        <v>171.2106</v>
      </c>
      <c r="N250" s="219">
        <v>1191.0214099999998</v>
      </c>
    </row>
    <row r="251" spans="1:14" x14ac:dyDescent="0.2">
      <c r="A251" t="s">
        <v>124</v>
      </c>
      <c r="B251" s="219">
        <v>238.31180000000001</v>
      </c>
      <c r="C251" s="219">
        <v>200.79640000000001</v>
      </c>
      <c r="D251" s="219">
        <v>161.36959999999999</v>
      </c>
      <c r="E251" s="219">
        <v>101.9785</v>
      </c>
      <c r="F251" s="219">
        <v>67.415030000000002</v>
      </c>
      <c r="G251" s="219">
        <v>47.663170000000001</v>
      </c>
      <c r="H251" s="219">
        <v>54.703290000000003</v>
      </c>
      <c r="I251" s="219">
        <v>78.050780000000003</v>
      </c>
      <c r="J251" s="219">
        <v>110.37520000000001</v>
      </c>
      <c r="K251" s="219">
        <v>167.9162</v>
      </c>
      <c r="L251" s="219">
        <v>196.4358</v>
      </c>
      <c r="M251" s="219">
        <v>224.4325</v>
      </c>
      <c r="N251" s="219">
        <v>1649.4482700000003</v>
      </c>
    </row>
    <row r="252" spans="1:14" x14ac:dyDescent="0.2">
      <c r="A252" t="s">
        <v>125</v>
      </c>
      <c r="B252" s="219">
        <v>245.90620000000001</v>
      </c>
      <c r="C252" s="219">
        <v>195.77670000000001</v>
      </c>
      <c r="D252" s="219">
        <v>170.77670000000001</v>
      </c>
      <c r="E252" s="219">
        <v>110.77670000000001</v>
      </c>
      <c r="F252" s="219">
        <v>75.517809999999997</v>
      </c>
      <c r="G252" s="219">
        <v>57.517809999999997</v>
      </c>
      <c r="H252" s="219">
        <v>69.647270000000006</v>
      </c>
      <c r="I252" s="219">
        <v>92.647270000000006</v>
      </c>
      <c r="J252" s="219">
        <v>126.9062</v>
      </c>
      <c r="K252" s="219">
        <v>180.77670000000001</v>
      </c>
      <c r="L252" s="219">
        <v>221.90620000000001</v>
      </c>
      <c r="M252" s="219">
        <v>248.90620000000001</v>
      </c>
      <c r="N252" s="219">
        <v>1797.06176</v>
      </c>
    </row>
    <row r="253" spans="1:14" x14ac:dyDescent="0.2">
      <c r="A253" t="s">
        <v>126</v>
      </c>
      <c r="B253" s="219">
        <v>223.0909</v>
      </c>
      <c r="C253" s="219">
        <v>179.3989</v>
      </c>
      <c r="D253" s="219">
        <v>152.041</v>
      </c>
      <c r="E253" s="219">
        <v>97.62227</v>
      </c>
      <c r="F253" s="219">
        <v>60.671750000000003</v>
      </c>
      <c r="G253" s="219">
        <v>45.049469999999999</v>
      </c>
      <c r="H253" s="219">
        <v>50.768389999999997</v>
      </c>
      <c r="I253" s="219">
        <v>74.896829999999994</v>
      </c>
      <c r="J253" s="219">
        <v>110.6328</v>
      </c>
      <c r="K253" s="219">
        <v>162.23490000000001</v>
      </c>
      <c r="L253" s="219">
        <v>190.0025</v>
      </c>
      <c r="M253" s="219">
        <v>212.80019999999999</v>
      </c>
      <c r="N253" s="219">
        <v>1559.2099099999998</v>
      </c>
    </row>
    <row r="254" spans="1:14" x14ac:dyDescent="0.2">
      <c r="A254" t="s">
        <v>127</v>
      </c>
      <c r="B254" s="219">
        <v>220</v>
      </c>
      <c r="C254" s="219">
        <v>168</v>
      </c>
      <c r="D254" s="219">
        <v>148</v>
      </c>
      <c r="E254" s="219">
        <v>98</v>
      </c>
      <c r="F254" s="219">
        <v>57</v>
      </c>
      <c r="G254" s="219">
        <v>44</v>
      </c>
      <c r="H254" s="219">
        <v>49</v>
      </c>
      <c r="I254" s="219">
        <v>75</v>
      </c>
      <c r="J254" s="219">
        <v>113</v>
      </c>
      <c r="K254" s="219">
        <v>163</v>
      </c>
      <c r="L254" s="219">
        <v>191</v>
      </c>
      <c r="M254" s="219">
        <v>213</v>
      </c>
      <c r="N254" s="219">
        <v>1539</v>
      </c>
    </row>
    <row r="255" spans="1:14" x14ac:dyDescent="0.2">
      <c r="A255" t="s">
        <v>128</v>
      </c>
      <c r="B255" s="219">
        <v>201.13640000000001</v>
      </c>
      <c r="C255" s="219">
        <v>155.27269999999999</v>
      </c>
      <c r="D255" s="219">
        <v>139.0455</v>
      </c>
      <c r="E255" s="219">
        <v>92.409090000000006</v>
      </c>
      <c r="F255" s="219">
        <v>65.090909999999994</v>
      </c>
      <c r="G255" s="219">
        <v>50.545450000000002</v>
      </c>
      <c r="H255" s="219">
        <v>60.090910000000001</v>
      </c>
      <c r="I255" s="219">
        <v>84.863640000000004</v>
      </c>
      <c r="J255" s="219">
        <v>114.9545</v>
      </c>
      <c r="K255" s="219">
        <v>151.72730000000001</v>
      </c>
      <c r="L255" s="219">
        <v>182.5909</v>
      </c>
      <c r="M255" s="219">
        <v>201.36359999999999</v>
      </c>
      <c r="N255" s="219">
        <v>1499.0908999999999</v>
      </c>
    </row>
    <row r="256" spans="1:14" x14ac:dyDescent="0.2">
      <c r="A256" t="s">
        <v>129</v>
      </c>
      <c r="B256" s="219">
        <v>218.93129999999999</v>
      </c>
      <c r="C256" s="219">
        <v>173.09540000000001</v>
      </c>
      <c r="D256" s="219">
        <v>151.9006</v>
      </c>
      <c r="E256" s="219">
        <v>100.5076</v>
      </c>
      <c r="F256" s="219">
        <v>69.305850000000007</v>
      </c>
      <c r="G256" s="219">
        <v>53.118189999999998</v>
      </c>
      <c r="H256" s="219">
        <v>64.668260000000004</v>
      </c>
      <c r="I256" s="219">
        <v>86.671949999999995</v>
      </c>
      <c r="J256" s="219">
        <v>116.87390000000001</v>
      </c>
      <c r="K256" s="219">
        <v>162.62569999999999</v>
      </c>
      <c r="L256" s="219">
        <v>198.01169999999999</v>
      </c>
      <c r="M256" s="219">
        <v>221.2063</v>
      </c>
      <c r="N256" s="219">
        <v>1616.9167500000003</v>
      </c>
    </row>
    <row r="257" spans="1:14" x14ac:dyDescent="0.2">
      <c r="A257" t="s">
        <v>130</v>
      </c>
      <c r="B257" s="219">
        <v>175.84610000000001</v>
      </c>
      <c r="C257" s="219">
        <v>149.88460000000001</v>
      </c>
      <c r="D257" s="219">
        <v>110.92310000000001</v>
      </c>
      <c r="E257" s="219">
        <v>70.442300000000003</v>
      </c>
      <c r="F257" s="219">
        <v>43.48077</v>
      </c>
      <c r="G257" s="219">
        <v>30.48077</v>
      </c>
      <c r="H257" s="219">
        <v>36.48077</v>
      </c>
      <c r="I257" s="219">
        <v>57.961530000000003</v>
      </c>
      <c r="J257" s="219">
        <v>86.442300000000003</v>
      </c>
      <c r="K257" s="219">
        <v>123.4038</v>
      </c>
      <c r="L257" s="219">
        <v>148.36539999999999</v>
      </c>
      <c r="M257" s="219">
        <v>172.32689999999999</v>
      </c>
      <c r="N257" s="219">
        <v>1206.0383400000001</v>
      </c>
    </row>
    <row r="258" spans="1:14" x14ac:dyDescent="0.2">
      <c r="A258" t="s">
        <v>131</v>
      </c>
      <c r="B258" s="219">
        <v>220.31219999999999</v>
      </c>
      <c r="C258" s="219">
        <v>176.6327</v>
      </c>
      <c r="D258" s="219">
        <v>152.7362</v>
      </c>
      <c r="E258" s="219">
        <v>98.568579999999997</v>
      </c>
      <c r="F258" s="219">
        <v>62.989449999999998</v>
      </c>
      <c r="G258" s="219">
        <v>45.499409999999997</v>
      </c>
      <c r="H258" s="219">
        <v>57.94764</v>
      </c>
      <c r="I258" s="219">
        <v>79.898399999999995</v>
      </c>
      <c r="J258" s="219">
        <v>113.1571</v>
      </c>
      <c r="K258" s="219">
        <v>158.28489999999999</v>
      </c>
      <c r="L258" s="219">
        <v>195.23560000000001</v>
      </c>
      <c r="M258" s="219">
        <v>218.18639999999999</v>
      </c>
      <c r="N258" s="219">
        <v>1579.4485800000002</v>
      </c>
    </row>
    <row r="259" spans="1:14" x14ac:dyDescent="0.2">
      <c r="A259" t="s">
        <v>132</v>
      </c>
      <c r="B259" s="219">
        <v>245</v>
      </c>
      <c r="C259" s="219">
        <v>195</v>
      </c>
      <c r="D259" s="219">
        <v>170</v>
      </c>
      <c r="E259" s="219">
        <v>110</v>
      </c>
      <c r="F259" s="219">
        <v>75</v>
      </c>
      <c r="G259" s="219">
        <v>57</v>
      </c>
      <c r="H259" s="219">
        <v>69</v>
      </c>
      <c r="I259" s="219">
        <v>92</v>
      </c>
      <c r="J259" s="219">
        <v>126</v>
      </c>
      <c r="K259" s="219">
        <v>180</v>
      </c>
      <c r="L259" s="219">
        <v>221</v>
      </c>
      <c r="M259" s="219">
        <v>248</v>
      </c>
      <c r="N259" s="219">
        <v>1788</v>
      </c>
    </row>
    <row r="260" spans="1:14" x14ac:dyDescent="0.2">
      <c r="A260" t="s">
        <v>133</v>
      </c>
      <c r="B260" s="219">
        <v>188</v>
      </c>
      <c r="C260" s="219">
        <v>146</v>
      </c>
      <c r="D260" s="219">
        <v>129</v>
      </c>
      <c r="E260" s="219">
        <v>87</v>
      </c>
      <c r="F260" s="219">
        <v>62</v>
      </c>
      <c r="G260" s="219">
        <v>49</v>
      </c>
      <c r="H260" s="219">
        <v>57</v>
      </c>
      <c r="I260" s="219">
        <v>81</v>
      </c>
      <c r="J260" s="219">
        <v>108</v>
      </c>
      <c r="K260" s="219">
        <v>144</v>
      </c>
      <c r="L260" s="219">
        <v>171</v>
      </c>
      <c r="M260" s="219">
        <v>189</v>
      </c>
      <c r="N260" s="219">
        <v>1411</v>
      </c>
    </row>
    <row r="261" spans="1:14" x14ac:dyDescent="0.2">
      <c r="A261" t="s">
        <v>134</v>
      </c>
      <c r="B261" s="219">
        <v>223.4898</v>
      </c>
      <c r="C261" s="219">
        <v>173.12039999999999</v>
      </c>
      <c r="D261" s="219">
        <v>152.31379999999999</v>
      </c>
      <c r="E261" s="219">
        <v>98.841610000000003</v>
      </c>
      <c r="F261" s="219">
        <v>58.841610000000003</v>
      </c>
      <c r="G261" s="219">
        <v>45.017539999999997</v>
      </c>
      <c r="H261" s="219">
        <v>51.683219999999999</v>
      </c>
      <c r="I261" s="219">
        <v>77.841610000000003</v>
      </c>
      <c r="J261" s="219">
        <v>114.6657</v>
      </c>
      <c r="K261" s="219">
        <v>164.8416</v>
      </c>
      <c r="L261" s="219">
        <v>196.12039999999999</v>
      </c>
      <c r="M261" s="219">
        <v>216.47219999999999</v>
      </c>
      <c r="N261" s="219">
        <v>1573.2494899999999</v>
      </c>
    </row>
    <row r="262" spans="1:14" x14ac:dyDescent="0.2">
      <c r="A262" t="s">
        <v>135</v>
      </c>
      <c r="B262" s="219">
        <v>220</v>
      </c>
      <c r="C262" s="219">
        <v>175</v>
      </c>
      <c r="D262" s="219">
        <v>152</v>
      </c>
      <c r="E262" s="219">
        <v>100</v>
      </c>
      <c r="F262" s="219">
        <v>67</v>
      </c>
      <c r="G262" s="219">
        <v>49</v>
      </c>
      <c r="H262" s="219">
        <v>61</v>
      </c>
      <c r="I262" s="219">
        <v>83</v>
      </c>
      <c r="J262" s="219">
        <v>115</v>
      </c>
      <c r="K262" s="219">
        <v>161</v>
      </c>
      <c r="L262" s="219">
        <v>198</v>
      </c>
      <c r="M262" s="219">
        <v>221</v>
      </c>
      <c r="N262" s="219">
        <v>1602</v>
      </c>
    </row>
    <row r="263" spans="1:14" x14ac:dyDescent="0.2">
      <c r="A263" t="s">
        <v>136</v>
      </c>
      <c r="B263" s="219">
        <v>220.07339999999999</v>
      </c>
      <c r="C263" s="219">
        <v>168.07339999999999</v>
      </c>
      <c r="D263" s="219">
        <v>148.30449999999999</v>
      </c>
      <c r="E263" s="219">
        <v>97.768929999999997</v>
      </c>
      <c r="F263" s="219">
        <v>57.535550000000001</v>
      </c>
      <c r="G263" s="219">
        <v>44.651090000000003</v>
      </c>
      <c r="H263" s="219">
        <v>49.651090000000003</v>
      </c>
      <c r="I263" s="219">
        <v>76.302180000000007</v>
      </c>
      <c r="J263" s="219">
        <v>112.7689</v>
      </c>
      <c r="K263" s="219">
        <v>163.30449999999999</v>
      </c>
      <c r="L263" s="219">
        <v>191.07339999999999</v>
      </c>
      <c r="M263" s="219">
        <v>213.18889999999999</v>
      </c>
      <c r="N263" s="219">
        <v>1542.6958399999999</v>
      </c>
    </row>
    <row r="264" spans="1:14" x14ac:dyDescent="0.2">
      <c r="A264" t="s">
        <v>137</v>
      </c>
      <c r="B264" s="219">
        <v>218.37710000000001</v>
      </c>
      <c r="C264" s="219">
        <v>177.37710000000001</v>
      </c>
      <c r="D264" s="219">
        <v>151.7037</v>
      </c>
      <c r="E264" s="219">
        <v>95.851860000000002</v>
      </c>
      <c r="F264" s="219">
        <v>57.703719999999997</v>
      </c>
      <c r="G264" s="219">
        <v>39.346690000000002</v>
      </c>
      <c r="H264" s="219">
        <v>52.525199999999998</v>
      </c>
      <c r="I264" s="219">
        <v>74.851860000000002</v>
      </c>
      <c r="J264" s="219">
        <v>109.5252</v>
      </c>
      <c r="K264" s="219">
        <v>153.52520000000001</v>
      </c>
      <c r="L264" s="219">
        <v>191.37710000000001</v>
      </c>
      <c r="M264" s="219">
        <v>213.37710000000001</v>
      </c>
      <c r="N264" s="219">
        <v>1535.5418299999999</v>
      </c>
    </row>
    <row r="265" spans="1:14" x14ac:dyDescent="0.2">
      <c r="A265" t="s">
        <v>138</v>
      </c>
      <c r="B265" s="219">
        <v>253</v>
      </c>
      <c r="C265" s="219">
        <v>203</v>
      </c>
      <c r="D265" s="219">
        <v>176</v>
      </c>
      <c r="E265" s="219">
        <v>116</v>
      </c>
      <c r="F265" s="219">
        <v>79</v>
      </c>
      <c r="G265" s="219">
        <v>60</v>
      </c>
      <c r="H265" s="219">
        <v>73</v>
      </c>
      <c r="I265" s="219">
        <v>98</v>
      </c>
      <c r="J265" s="219">
        <v>132</v>
      </c>
      <c r="K265" s="219">
        <v>188</v>
      </c>
      <c r="L265" s="219">
        <v>230</v>
      </c>
      <c r="M265" s="219">
        <v>258</v>
      </c>
      <c r="N265" s="219">
        <v>1866</v>
      </c>
    </row>
    <row r="266" spans="1:14" x14ac:dyDescent="0.2">
      <c r="A266" t="s">
        <v>139</v>
      </c>
      <c r="B266" s="219">
        <v>207.2578</v>
      </c>
      <c r="C266" s="219">
        <v>162.06219999999999</v>
      </c>
      <c r="D266" s="219">
        <v>138.92330000000001</v>
      </c>
      <c r="E266" s="219">
        <v>89.903030000000001</v>
      </c>
      <c r="F266" s="219">
        <v>53.833689999999997</v>
      </c>
      <c r="G266" s="219">
        <v>41.600079999999998</v>
      </c>
      <c r="H266" s="219">
        <v>45.805300000000003</v>
      </c>
      <c r="I266" s="219">
        <v>69.950559999999996</v>
      </c>
      <c r="J266" s="219">
        <v>104.2411</v>
      </c>
      <c r="K266" s="219">
        <v>152.39879999999999</v>
      </c>
      <c r="L266" s="219">
        <v>177.8092</v>
      </c>
      <c r="M266" s="219">
        <v>200.09039999999999</v>
      </c>
      <c r="N266" s="219">
        <v>1443.87546</v>
      </c>
    </row>
    <row r="267" spans="1:14" x14ac:dyDescent="0.2">
      <c r="A267" t="s">
        <v>140</v>
      </c>
      <c r="B267" s="219">
        <v>245</v>
      </c>
      <c r="C267" s="219">
        <v>195</v>
      </c>
      <c r="D267" s="219">
        <v>170</v>
      </c>
      <c r="E267" s="219">
        <v>110</v>
      </c>
      <c r="F267" s="219">
        <v>75</v>
      </c>
      <c r="G267" s="219">
        <v>57</v>
      </c>
      <c r="H267" s="219">
        <v>69</v>
      </c>
      <c r="I267" s="219">
        <v>92</v>
      </c>
      <c r="J267" s="219">
        <v>126</v>
      </c>
      <c r="K267" s="219">
        <v>180</v>
      </c>
      <c r="L267" s="219">
        <v>221</v>
      </c>
      <c r="M267" s="219">
        <v>248</v>
      </c>
      <c r="N267" s="219">
        <v>1788</v>
      </c>
    </row>
    <row r="268" spans="1:14" x14ac:dyDescent="0.2">
      <c r="A268" t="s">
        <v>141</v>
      </c>
      <c r="B268" s="219">
        <v>230.23089999999999</v>
      </c>
      <c r="C268" s="219">
        <v>190.88030000000001</v>
      </c>
      <c r="D268" s="219">
        <v>159.4913</v>
      </c>
      <c r="E268" s="219">
        <v>107.27460000000001</v>
      </c>
      <c r="F268" s="219">
        <v>71.875540000000001</v>
      </c>
      <c r="G268" s="219">
        <v>49.510770000000001</v>
      </c>
      <c r="H268" s="219">
        <v>61.704250000000002</v>
      </c>
      <c r="I268" s="219">
        <v>82.249319999999997</v>
      </c>
      <c r="J268" s="219">
        <v>115</v>
      </c>
      <c r="K268" s="219">
        <v>154.0891</v>
      </c>
      <c r="L268" s="219">
        <v>193.2715</v>
      </c>
      <c r="M268" s="219">
        <v>222.81870000000001</v>
      </c>
      <c r="N268" s="219">
        <v>1638.3962799999999</v>
      </c>
    </row>
    <row r="269" spans="1:14" x14ac:dyDescent="0.2">
      <c r="A269" t="s">
        <v>142</v>
      </c>
      <c r="B269" s="219">
        <v>232.7483</v>
      </c>
      <c r="C269" s="219">
        <v>193.1215</v>
      </c>
      <c r="D269" s="219">
        <v>161.03319999999999</v>
      </c>
      <c r="E269" s="219">
        <v>109.5774</v>
      </c>
      <c r="F269" s="219">
        <v>75.368819999999999</v>
      </c>
      <c r="G269" s="219">
        <v>52.335340000000002</v>
      </c>
      <c r="H269" s="219">
        <v>64.223010000000002</v>
      </c>
      <c r="I269" s="219">
        <v>84.884690000000006</v>
      </c>
      <c r="J269" s="219">
        <v>117.0371</v>
      </c>
      <c r="K269" s="219">
        <v>156.8922</v>
      </c>
      <c r="L269" s="219">
        <v>196.32409999999999</v>
      </c>
      <c r="M269" s="219">
        <v>226.61969999999999</v>
      </c>
      <c r="N269" s="219">
        <v>1670.16536</v>
      </c>
    </row>
    <row r="270" spans="1:14" x14ac:dyDescent="0.2">
      <c r="A270" t="s">
        <v>143</v>
      </c>
      <c r="B270" s="219">
        <v>216.00020000000001</v>
      </c>
      <c r="C270" s="219">
        <v>172.4708</v>
      </c>
      <c r="D270" s="219">
        <v>149.2527</v>
      </c>
      <c r="E270" s="219">
        <v>95.638499999999993</v>
      </c>
      <c r="F270" s="219">
        <v>56.25271</v>
      </c>
      <c r="G270" s="219">
        <v>41.875529999999998</v>
      </c>
      <c r="H270" s="219">
        <v>50.648859999999999</v>
      </c>
      <c r="I270" s="219">
        <v>74.103949999999998</v>
      </c>
      <c r="J270" s="219">
        <v>109.5988</v>
      </c>
      <c r="K270" s="219">
        <v>155.3169</v>
      </c>
      <c r="L270" s="219">
        <v>188.39660000000001</v>
      </c>
      <c r="M270" s="219">
        <v>209.471</v>
      </c>
      <c r="N270" s="219">
        <v>1519.02655</v>
      </c>
    </row>
    <row r="271" spans="1:14" x14ac:dyDescent="0.2">
      <c r="A271" t="s">
        <v>144</v>
      </c>
      <c r="B271" s="219">
        <v>258.3415</v>
      </c>
      <c r="C271" s="219">
        <v>207.21950000000001</v>
      </c>
      <c r="D271" s="219">
        <v>180.56100000000001</v>
      </c>
      <c r="E271" s="219">
        <v>120.5121</v>
      </c>
      <c r="F271" s="219">
        <v>84.951130000000006</v>
      </c>
      <c r="G271" s="219">
        <v>64.438980000000001</v>
      </c>
      <c r="H271" s="219">
        <v>78.585310000000007</v>
      </c>
      <c r="I271" s="219">
        <v>104.2195</v>
      </c>
      <c r="J271" s="219">
        <v>140.1463</v>
      </c>
      <c r="K271" s="219">
        <v>193.4879</v>
      </c>
      <c r="L271" s="219">
        <v>234.41470000000001</v>
      </c>
      <c r="M271" s="219">
        <v>262.48790000000002</v>
      </c>
      <c r="N271" s="219">
        <v>1929.3658200000002</v>
      </c>
    </row>
    <row r="272" spans="1:14" x14ac:dyDescent="0.2">
      <c r="A272" t="s">
        <v>145</v>
      </c>
      <c r="B272" s="219">
        <v>183.58629999999999</v>
      </c>
      <c r="C272" s="219">
        <v>154.54400000000001</v>
      </c>
      <c r="D272" s="219">
        <v>118.217</v>
      </c>
      <c r="E272" s="219">
        <v>76.875349999999997</v>
      </c>
      <c r="F272" s="219">
        <v>48.068260000000002</v>
      </c>
      <c r="G272" s="219">
        <v>35.888030000000001</v>
      </c>
      <c r="H272" s="219">
        <v>41.446910000000003</v>
      </c>
      <c r="I272" s="219">
        <v>62.47475</v>
      </c>
      <c r="J272" s="219">
        <v>88.683170000000004</v>
      </c>
      <c r="K272" s="219">
        <v>125.95950000000001</v>
      </c>
      <c r="L272" s="219">
        <v>152.10499999999999</v>
      </c>
      <c r="M272" s="219">
        <v>179.97309999999999</v>
      </c>
      <c r="N272" s="219">
        <v>1267.8213699999999</v>
      </c>
    </row>
    <row r="273" spans="1:14" x14ac:dyDescent="0.2">
      <c r="A273" t="s">
        <v>146</v>
      </c>
      <c r="B273" s="219">
        <v>219.35220000000001</v>
      </c>
      <c r="C273" s="219">
        <v>177.33260000000001</v>
      </c>
      <c r="D273" s="219">
        <v>152.66730000000001</v>
      </c>
      <c r="E273" s="219">
        <v>96.215220000000002</v>
      </c>
      <c r="F273" s="219">
        <v>57.843429999999998</v>
      </c>
      <c r="G273" s="219">
        <v>38.39134</v>
      </c>
      <c r="H273" s="219">
        <v>52.11739</v>
      </c>
      <c r="I273" s="219">
        <v>75.11739</v>
      </c>
      <c r="J273" s="219">
        <v>109.31310000000001</v>
      </c>
      <c r="K273" s="219">
        <v>154.23480000000001</v>
      </c>
      <c r="L273" s="219">
        <v>191.23480000000001</v>
      </c>
      <c r="M273" s="219">
        <v>213.43039999999999</v>
      </c>
      <c r="N273" s="219">
        <v>1537.2499700000001</v>
      </c>
    </row>
    <row r="274" spans="1:14" x14ac:dyDescent="0.2">
      <c r="A274" t="s">
        <v>147</v>
      </c>
      <c r="B274" s="219">
        <v>256.91140000000001</v>
      </c>
      <c r="C274" s="219">
        <v>218.10310000000001</v>
      </c>
      <c r="D274" s="219">
        <v>187.4058</v>
      </c>
      <c r="E274" s="219">
        <v>141.2304</v>
      </c>
      <c r="F274" s="219">
        <v>109.9545</v>
      </c>
      <c r="G274" s="219">
        <v>87.902010000000004</v>
      </c>
      <c r="H274" s="219">
        <v>99.573189999999997</v>
      </c>
      <c r="I274" s="219">
        <v>118.9579</v>
      </c>
      <c r="J274" s="219">
        <v>152.8228</v>
      </c>
      <c r="K274" s="219">
        <v>209.80760000000001</v>
      </c>
      <c r="L274" s="219">
        <v>238.01060000000001</v>
      </c>
      <c r="M274" s="219">
        <v>275.9196</v>
      </c>
      <c r="N274" s="219">
        <v>2096.5989000000004</v>
      </c>
    </row>
    <row r="275" spans="1:14" x14ac:dyDescent="0.2">
      <c r="A275" t="s">
        <v>148</v>
      </c>
      <c r="B275" s="219">
        <v>190.58799999999999</v>
      </c>
      <c r="C275" s="219">
        <v>148.5607</v>
      </c>
      <c r="D275" s="219">
        <v>119.5258</v>
      </c>
      <c r="E275" s="219">
        <v>68.613740000000007</v>
      </c>
      <c r="F275" s="219">
        <v>39.716239999999999</v>
      </c>
      <c r="G275" s="219">
        <v>29.508790000000001</v>
      </c>
      <c r="H275" s="219">
        <v>36.731749999999998</v>
      </c>
      <c r="I275" s="219">
        <v>59.214379999999998</v>
      </c>
      <c r="J275" s="219">
        <v>97.291839999999993</v>
      </c>
      <c r="K275" s="219">
        <v>143.0164</v>
      </c>
      <c r="L275" s="219">
        <v>171.46199999999999</v>
      </c>
      <c r="M275" s="219">
        <v>188.6808</v>
      </c>
      <c r="N275" s="219">
        <v>1292.9104400000001</v>
      </c>
    </row>
    <row r="276" spans="1:14" x14ac:dyDescent="0.2">
      <c r="A276" t="s">
        <v>149</v>
      </c>
      <c r="B276" s="219">
        <v>183.59139999999999</v>
      </c>
      <c r="C276" s="219">
        <v>157.10130000000001</v>
      </c>
      <c r="D276" s="219">
        <v>116.6395</v>
      </c>
      <c r="E276" s="219">
        <v>75.942269999999994</v>
      </c>
      <c r="F276" s="219">
        <v>46.927750000000003</v>
      </c>
      <c r="G276" s="219">
        <v>33.627339999999997</v>
      </c>
      <c r="H276" s="219">
        <v>40.570399999999999</v>
      </c>
      <c r="I276" s="219">
        <v>62.504640000000002</v>
      </c>
      <c r="J276" s="219">
        <v>90.233670000000004</v>
      </c>
      <c r="K276" s="219">
        <v>124.1255</v>
      </c>
      <c r="L276" s="219">
        <v>148.55070000000001</v>
      </c>
      <c r="M276" s="219">
        <v>178.6446</v>
      </c>
      <c r="N276" s="219">
        <v>1258.4590699999999</v>
      </c>
    </row>
    <row r="277" spans="1:14" x14ac:dyDescent="0.2">
      <c r="A277" t="s">
        <v>150</v>
      </c>
      <c r="B277" s="219">
        <v>145.02209999999999</v>
      </c>
      <c r="C277" s="219">
        <v>100.5423</v>
      </c>
      <c r="D277" s="219">
        <v>82.184359999999998</v>
      </c>
      <c r="E277" s="219">
        <v>42.78875</v>
      </c>
      <c r="F277" s="219">
        <v>22.53246</v>
      </c>
      <c r="G277" s="219">
        <v>12.25413</v>
      </c>
      <c r="H277" s="219">
        <v>15.84693</v>
      </c>
      <c r="I277" s="219">
        <v>27.06155</v>
      </c>
      <c r="J277" s="219">
        <v>63.842889999999997</v>
      </c>
      <c r="K277" s="219">
        <v>95.332520000000002</v>
      </c>
      <c r="L277" s="219">
        <v>140.10759999999999</v>
      </c>
      <c r="M277" s="219">
        <v>152.0247</v>
      </c>
      <c r="N277" s="219">
        <v>899.54028999999991</v>
      </c>
    </row>
    <row r="278" spans="1:14" x14ac:dyDescent="0.2">
      <c r="A278" t="s">
        <v>151</v>
      </c>
      <c r="B278" s="219">
        <v>239.31909999999999</v>
      </c>
      <c r="C278" s="219">
        <v>201.88480000000001</v>
      </c>
      <c r="D278" s="219">
        <v>166.18129999999999</v>
      </c>
      <c r="E278" s="219">
        <v>111.5553</v>
      </c>
      <c r="F278" s="219">
        <v>76.328620000000001</v>
      </c>
      <c r="G278" s="219">
        <v>48.802529999999997</v>
      </c>
      <c r="H278" s="219">
        <v>60.989069999999998</v>
      </c>
      <c r="I278" s="219">
        <v>77.919659999999993</v>
      </c>
      <c r="J278" s="219">
        <v>109.3749</v>
      </c>
      <c r="K278" s="219">
        <v>146.1609</v>
      </c>
      <c r="L278" s="219">
        <v>185.2996</v>
      </c>
      <c r="M278" s="219">
        <v>223.31399999999999</v>
      </c>
      <c r="N278" s="219">
        <v>1647.1297800000002</v>
      </c>
    </row>
    <row r="279" spans="1:14" x14ac:dyDescent="0.2">
      <c r="A279" t="s">
        <v>152</v>
      </c>
      <c r="B279" s="219">
        <v>196.65629999999999</v>
      </c>
      <c r="C279" s="219">
        <v>163.28129999999999</v>
      </c>
      <c r="D279" s="219">
        <v>138.25</v>
      </c>
      <c r="E279" s="219">
        <v>87.40625</v>
      </c>
      <c r="F279" s="219">
        <v>54.40625</v>
      </c>
      <c r="G279" s="219">
        <v>40.84375</v>
      </c>
      <c r="H279" s="219">
        <v>46.5625</v>
      </c>
      <c r="I279" s="219">
        <v>71.40625</v>
      </c>
      <c r="J279" s="219">
        <v>100.9688</v>
      </c>
      <c r="K279" s="219">
        <v>140.375</v>
      </c>
      <c r="L279" s="219">
        <v>166.375</v>
      </c>
      <c r="M279" s="219">
        <v>192.78129999999999</v>
      </c>
      <c r="N279" s="219">
        <v>1399.3126999999999</v>
      </c>
    </row>
    <row r="280" spans="1:14" x14ac:dyDescent="0.2">
      <c r="A280" t="s">
        <v>153</v>
      </c>
      <c r="B280" s="219">
        <v>216.4109</v>
      </c>
      <c r="C280" s="219">
        <v>175.3152</v>
      </c>
      <c r="D280" s="219">
        <v>150.3597</v>
      </c>
      <c r="E280" s="219">
        <v>95.161749999999998</v>
      </c>
      <c r="F280" s="219">
        <v>56.283839999999998</v>
      </c>
      <c r="G280" s="219">
        <v>38.102319999999999</v>
      </c>
      <c r="H280" s="219">
        <v>51.193080000000002</v>
      </c>
      <c r="I280" s="219">
        <v>74.141919999999999</v>
      </c>
      <c r="J280" s="219">
        <v>108.2129</v>
      </c>
      <c r="K280" s="219">
        <v>152.28880000000001</v>
      </c>
      <c r="L280" s="219">
        <v>189.33500000000001</v>
      </c>
      <c r="M280" s="219">
        <v>211.33500000000001</v>
      </c>
      <c r="N280" s="219">
        <v>1518.14041</v>
      </c>
    </row>
    <row r="281" spans="1:14" x14ac:dyDescent="0.2">
      <c r="A281" t="s">
        <v>165</v>
      </c>
      <c r="B281" s="219">
        <v>257.41480000000001</v>
      </c>
      <c r="C281" s="219">
        <v>219.16900000000001</v>
      </c>
      <c r="D281" s="219">
        <v>179.9683</v>
      </c>
      <c r="E281" s="219">
        <v>134.97399999999999</v>
      </c>
      <c r="F281" s="219">
        <v>103.2012</v>
      </c>
      <c r="G281" s="219">
        <v>70.879850000000005</v>
      </c>
      <c r="H281" s="219">
        <v>85.741739999999993</v>
      </c>
      <c r="I281" s="219">
        <v>104.2253</v>
      </c>
      <c r="J281" s="219">
        <v>137.28659999999999</v>
      </c>
      <c r="K281" s="219">
        <v>185.61760000000001</v>
      </c>
      <c r="L281" s="219">
        <v>223.47229999999999</v>
      </c>
      <c r="M281" s="219">
        <v>271.73770000000002</v>
      </c>
      <c r="N281" s="219">
        <v>1973.6883899999998</v>
      </c>
    </row>
    <row r="282" spans="1:14" x14ac:dyDescent="0.2">
      <c r="A282" t="s">
        <v>166</v>
      </c>
      <c r="B282" s="219">
        <v>197.62370000000001</v>
      </c>
      <c r="C282" s="219">
        <v>153.62260000000001</v>
      </c>
      <c r="D282" s="219">
        <v>135.71780000000001</v>
      </c>
      <c r="E282" s="219">
        <v>89.359470000000002</v>
      </c>
      <c r="F282" s="219">
        <v>61.455849999999998</v>
      </c>
      <c r="G282" s="219">
        <v>48.003459999999997</v>
      </c>
      <c r="H282" s="219">
        <v>57.454700000000003</v>
      </c>
      <c r="I282" s="219">
        <v>80.005769999999998</v>
      </c>
      <c r="J282" s="219">
        <v>109.45820000000001</v>
      </c>
      <c r="K282" s="219">
        <v>148.36179999999999</v>
      </c>
      <c r="L282" s="219">
        <v>178.71889999999999</v>
      </c>
      <c r="M282" s="219">
        <v>198.17250000000001</v>
      </c>
      <c r="N282" s="219">
        <v>1457.9547500000003</v>
      </c>
    </row>
    <row r="283" spans="1:14" x14ac:dyDescent="0.2">
      <c r="A283" t="s">
        <v>167</v>
      </c>
      <c r="B283" s="219">
        <v>245.1789</v>
      </c>
      <c r="C283" s="219">
        <v>195.42099999999999</v>
      </c>
      <c r="D283" s="219">
        <v>170.01310000000001</v>
      </c>
      <c r="E283" s="219">
        <v>110.73950000000001</v>
      </c>
      <c r="F283" s="219">
        <v>75.573710000000005</v>
      </c>
      <c r="G283" s="219">
        <v>57.00656</v>
      </c>
      <c r="H283" s="219">
        <v>69.573710000000005</v>
      </c>
      <c r="I283" s="219">
        <v>92.497380000000007</v>
      </c>
      <c r="J283" s="219">
        <v>126.73950000000001</v>
      </c>
      <c r="K283" s="219">
        <v>179.93680000000001</v>
      </c>
      <c r="L283" s="219">
        <v>221.0197</v>
      </c>
      <c r="M283" s="219">
        <v>248.34469999999999</v>
      </c>
      <c r="N283" s="219">
        <v>1792.0445600000003</v>
      </c>
    </row>
    <row r="284" spans="1:14" x14ac:dyDescent="0.2">
      <c r="A284" t="s">
        <v>168</v>
      </c>
      <c r="B284" s="219">
        <v>219.74459999999999</v>
      </c>
      <c r="C284" s="219">
        <v>171.77209999999999</v>
      </c>
      <c r="D284" s="219">
        <v>148.86160000000001</v>
      </c>
      <c r="E284" s="219">
        <v>97.248180000000005</v>
      </c>
      <c r="F284" s="219">
        <v>57.248260000000002</v>
      </c>
      <c r="G284" s="219">
        <v>44.247950000000003</v>
      </c>
      <c r="H284" s="219">
        <v>50.554639999999999</v>
      </c>
      <c r="I284" s="219">
        <v>75.24803</v>
      </c>
      <c r="J284" s="219">
        <v>111.7864</v>
      </c>
      <c r="K284" s="219">
        <v>160.23699999999999</v>
      </c>
      <c r="L284" s="219">
        <v>190.589</v>
      </c>
      <c r="M284" s="219">
        <v>212.00550000000001</v>
      </c>
      <c r="N284" s="219">
        <v>1539.5432599999999</v>
      </c>
    </row>
    <row r="285" spans="1:14" x14ac:dyDescent="0.2">
      <c r="A285" t="s">
        <v>169</v>
      </c>
      <c r="B285" s="219">
        <v>232.4752</v>
      </c>
      <c r="C285" s="219">
        <v>195.6688</v>
      </c>
      <c r="D285" s="219">
        <v>163.52680000000001</v>
      </c>
      <c r="E285" s="219">
        <v>108.3342</v>
      </c>
      <c r="F285" s="219">
        <v>72.397210000000001</v>
      </c>
      <c r="G285" s="219">
        <v>46.006459999999997</v>
      </c>
      <c r="H285" s="219">
        <v>57.315429999999999</v>
      </c>
      <c r="I285" s="219">
        <v>76.036320000000003</v>
      </c>
      <c r="J285" s="219">
        <v>106.09529999999999</v>
      </c>
      <c r="K285" s="219">
        <v>142.6446</v>
      </c>
      <c r="L285" s="219">
        <v>175.76570000000001</v>
      </c>
      <c r="M285" s="219">
        <v>218.19970000000001</v>
      </c>
      <c r="N285" s="219">
        <v>1594.4657200000001</v>
      </c>
    </row>
    <row r="286" spans="1:14" x14ac:dyDescent="0.2">
      <c r="A286" t="s">
        <v>170</v>
      </c>
      <c r="B286" s="219">
        <v>240.19280000000001</v>
      </c>
      <c r="C286" s="219">
        <v>205.1814</v>
      </c>
      <c r="D286" s="219">
        <v>170.5351</v>
      </c>
      <c r="E286" s="219">
        <v>124.29349999999999</v>
      </c>
      <c r="F286" s="219">
        <v>94.598550000000003</v>
      </c>
      <c r="G286" s="219">
        <v>64.950980000000001</v>
      </c>
      <c r="H286" s="219">
        <v>79.743620000000007</v>
      </c>
      <c r="I286" s="219">
        <v>98.247349999999997</v>
      </c>
      <c r="J286" s="219">
        <v>128.2877</v>
      </c>
      <c r="K286" s="219">
        <v>167.67310000000001</v>
      </c>
      <c r="L286" s="219">
        <v>202.89099999999999</v>
      </c>
      <c r="M286" s="219">
        <v>243.38480000000001</v>
      </c>
      <c r="N286" s="219">
        <v>1819.9799000000003</v>
      </c>
    </row>
    <row r="287" spans="1:14" x14ac:dyDescent="0.2">
      <c r="A287" t="s">
        <v>171</v>
      </c>
      <c r="B287" s="219">
        <v>241.1302</v>
      </c>
      <c r="C287" s="219">
        <v>201.69970000000001</v>
      </c>
      <c r="D287" s="219">
        <v>166.04159999999999</v>
      </c>
      <c r="E287" s="219">
        <v>109.5551</v>
      </c>
      <c r="F287" s="219">
        <v>71.415880000000001</v>
      </c>
      <c r="G287" s="219">
        <v>48.490920000000003</v>
      </c>
      <c r="H287" s="219">
        <v>54.843449999999997</v>
      </c>
      <c r="I287" s="219">
        <v>75.255250000000004</v>
      </c>
      <c r="J287" s="219">
        <v>105.9439</v>
      </c>
      <c r="K287" s="219">
        <v>159.0205</v>
      </c>
      <c r="L287" s="219">
        <v>195.5206</v>
      </c>
      <c r="M287" s="219">
        <v>230.62639999999999</v>
      </c>
      <c r="N287" s="219">
        <v>1659.5435000000002</v>
      </c>
    </row>
    <row r="288" spans="1:14" x14ac:dyDescent="0.2">
      <c r="A288" t="s">
        <v>172</v>
      </c>
      <c r="B288" s="219">
        <v>258.32760000000002</v>
      </c>
      <c r="C288" s="219">
        <v>207.1182</v>
      </c>
      <c r="D288" s="219">
        <v>180.4811</v>
      </c>
      <c r="E288" s="219">
        <v>120.4641</v>
      </c>
      <c r="F288" s="219">
        <v>84.983059999999995</v>
      </c>
      <c r="G288" s="219">
        <v>64.554230000000004</v>
      </c>
      <c r="H288" s="219">
        <v>78.585949999999997</v>
      </c>
      <c r="I288" s="219">
        <v>104.1888</v>
      </c>
      <c r="J288" s="219">
        <v>140.10230000000001</v>
      </c>
      <c r="K288" s="219">
        <v>193.60650000000001</v>
      </c>
      <c r="L288" s="219">
        <v>234.4494</v>
      </c>
      <c r="M288" s="219">
        <v>262.60649999999998</v>
      </c>
      <c r="N288" s="219">
        <v>1929.46774</v>
      </c>
    </row>
    <row r="289" spans="1:14" x14ac:dyDescent="0.2">
      <c r="A289" t="s">
        <v>173</v>
      </c>
      <c r="B289" s="219">
        <v>237.99010000000001</v>
      </c>
      <c r="C289" s="219">
        <v>200.7166</v>
      </c>
      <c r="D289" s="219">
        <v>164.4802</v>
      </c>
      <c r="E289" s="219">
        <v>112.42829999999999</v>
      </c>
      <c r="F289" s="219">
        <v>78.670050000000003</v>
      </c>
      <c r="G289" s="219">
        <v>50.674239999999998</v>
      </c>
      <c r="H289" s="219">
        <v>62.800870000000003</v>
      </c>
      <c r="I289" s="219">
        <v>80.244240000000005</v>
      </c>
      <c r="J289" s="219">
        <v>111.2604</v>
      </c>
      <c r="K289" s="219">
        <v>146.55789999999999</v>
      </c>
      <c r="L289" s="219">
        <v>186.96279999999999</v>
      </c>
      <c r="M289" s="219">
        <v>224.03739999999999</v>
      </c>
      <c r="N289" s="219">
        <v>1656.8231000000003</v>
      </c>
    </row>
    <row r="290" spans="1:14" x14ac:dyDescent="0.2">
      <c r="A290" t="s">
        <v>174</v>
      </c>
      <c r="B290" s="219">
        <v>173.1026</v>
      </c>
      <c r="C290" s="219">
        <v>120.21</v>
      </c>
      <c r="D290" s="219">
        <v>96.938149999999993</v>
      </c>
      <c r="E290" s="219">
        <v>51.185029999999998</v>
      </c>
      <c r="F290" s="219">
        <v>26.90203</v>
      </c>
      <c r="G290" s="219">
        <v>15.06902</v>
      </c>
      <c r="H290" s="219">
        <v>19.527920000000002</v>
      </c>
      <c r="I290" s="219">
        <v>32.683819999999997</v>
      </c>
      <c r="J290" s="219">
        <v>75.523499999999999</v>
      </c>
      <c r="K290" s="219">
        <v>115.07689999999999</v>
      </c>
      <c r="L290" s="219">
        <v>167.77420000000001</v>
      </c>
      <c r="M290" s="219">
        <v>179.34030000000001</v>
      </c>
      <c r="N290" s="219">
        <v>1073.33347</v>
      </c>
    </row>
    <row r="291" spans="1:14" x14ac:dyDescent="0.2">
      <c r="A291" t="s">
        <v>175</v>
      </c>
      <c r="B291" s="219">
        <v>218.05350000000001</v>
      </c>
      <c r="C291" s="219">
        <v>168.45820000000001</v>
      </c>
      <c r="D291" s="219">
        <v>147.40469999999999</v>
      </c>
      <c r="E291" s="219">
        <v>96.351169999999996</v>
      </c>
      <c r="F291" s="219">
        <v>56.70234</v>
      </c>
      <c r="G291" s="219">
        <v>44</v>
      </c>
      <c r="H291" s="219">
        <v>49.351170000000003</v>
      </c>
      <c r="I291" s="219">
        <v>74</v>
      </c>
      <c r="J291" s="219">
        <v>111</v>
      </c>
      <c r="K291" s="219">
        <v>160.70230000000001</v>
      </c>
      <c r="L291" s="219">
        <v>189.05350000000001</v>
      </c>
      <c r="M291" s="219">
        <v>209.70230000000001</v>
      </c>
      <c r="N291" s="219">
        <v>1524.77918</v>
      </c>
    </row>
    <row r="292" spans="1:14" x14ac:dyDescent="0.2">
      <c r="A292" t="s">
        <v>176</v>
      </c>
      <c r="B292" s="219">
        <v>217.6635</v>
      </c>
      <c r="C292" s="219">
        <v>174.71440000000001</v>
      </c>
      <c r="D292" s="219">
        <v>150.6045</v>
      </c>
      <c r="E292" s="219">
        <v>96.264020000000002</v>
      </c>
      <c r="F292" s="219">
        <v>57.305340000000001</v>
      </c>
      <c r="G292" s="219">
        <v>40.546169999999996</v>
      </c>
      <c r="H292" s="219">
        <v>51.568600000000004</v>
      </c>
      <c r="I292" s="219">
        <v>74.932190000000006</v>
      </c>
      <c r="J292" s="219">
        <v>110.5748</v>
      </c>
      <c r="K292" s="219">
        <v>156.12090000000001</v>
      </c>
      <c r="L292" s="219">
        <v>191.7235</v>
      </c>
      <c r="M292" s="219">
        <v>212.54830000000001</v>
      </c>
      <c r="N292" s="219">
        <v>1534.5662199999999</v>
      </c>
    </row>
    <row r="293" spans="1:14" x14ac:dyDescent="0.2">
      <c r="A293" t="s">
        <v>177</v>
      </c>
      <c r="B293" s="219">
        <v>253</v>
      </c>
      <c r="C293" s="219">
        <v>203</v>
      </c>
      <c r="D293" s="219">
        <v>176</v>
      </c>
      <c r="E293" s="219">
        <v>116</v>
      </c>
      <c r="F293" s="219">
        <v>79</v>
      </c>
      <c r="G293" s="219">
        <v>60</v>
      </c>
      <c r="H293" s="219">
        <v>73</v>
      </c>
      <c r="I293" s="219">
        <v>98</v>
      </c>
      <c r="J293" s="219">
        <v>132</v>
      </c>
      <c r="K293" s="219">
        <v>188</v>
      </c>
      <c r="L293" s="219">
        <v>230</v>
      </c>
      <c r="M293" s="219">
        <v>258</v>
      </c>
      <c r="N293" s="219">
        <v>1866</v>
      </c>
    </row>
    <row r="294" spans="1:14" x14ac:dyDescent="0.2">
      <c r="A294" t="s">
        <v>178</v>
      </c>
      <c r="B294" s="219">
        <v>231.38210000000001</v>
      </c>
      <c r="C294" s="219">
        <v>203.6326</v>
      </c>
      <c r="D294" s="219">
        <v>166.88740000000001</v>
      </c>
      <c r="E294" s="219">
        <v>117.179</v>
      </c>
      <c r="F294" s="219">
        <v>88.058899999999994</v>
      </c>
      <c r="G294" s="219">
        <v>56.141840000000002</v>
      </c>
      <c r="H294" s="219">
        <v>70.334199999999996</v>
      </c>
      <c r="I294" s="219">
        <v>84.771420000000006</v>
      </c>
      <c r="J294" s="219">
        <v>111.6511</v>
      </c>
      <c r="K294" s="219">
        <v>142.59530000000001</v>
      </c>
      <c r="L294" s="219">
        <v>171.69229999999999</v>
      </c>
      <c r="M294" s="219">
        <v>218.6397</v>
      </c>
      <c r="N294" s="219">
        <v>1662.9658599999998</v>
      </c>
    </row>
    <row r="295" spans="1:14" x14ac:dyDescent="0.2">
      <c r="A295" t="s">
        <v>179</v>
      </c>
      <c r="B295" s="219">
        <v>193.14609999999999</v>
      </c>
      <c r="C295" s="219">
        <v>164.15819999999999</v>
      </c>
      <c r="D295" s="219">
        <v>122.9088</v>
      </c>
      <c r="E295" s="219">
        <v>79.411060000000006</v>
      </c>
      <c r="F295" s="219">
        <v>49.545990000000003</v>
      </c>
      <c r="G295" s="219">
        <v>35.422739999999997</v>
      </c>
      <c r="H295" s="219">
        <v>42.463039999999999</v>
      </c>
      <c r="I295" s="219">
        <v>65.706140000000005</v>
      </c>
      <c r="J295" s="219">
        <v>93.989549999999994</v>
      </c>
      <c r="K295" s="219">
        <v>129.6652</v>
      </c>
      <c r="L295" s="219">
        <v>157.12889999999999</v>
      </c>
      <c r="M295" s="219">
        <v>189.32820000000001</v>
      </c>
      <c r="N295" s="219">
        <v>1322.8739199999998</v>
      </c>
    </row>
    <row r="296" spans="1:14" x14ac:dyDescent="0.2">
      <c r="A296" t="s">
        <v>180</v>
      </c>
      <c r="B296" s="219">
        <v>252.80279999999999</v>
      </c>
      <c r="C296" s="219">
        <v>202.80279999999999</v>
      </c>
      <c r="D296" s="219">
        <v>175.85210000000001</v>
      </c>
      <c r="E296" s="219">
        <v>115.85209999999999</v>
      </c>
      <c r="F296" s="219">
        <v>78.901409999999998</v>
      </c>
      <c r="G296" s="219">
        <v>59.92606</v>
      </c>
      <c r="H296" s="219">
        <v>72.901409999999998</v>
      </c>
      <c r="I296" s="219">
        <v>97.852109999999996</v>
      </c>
      <c r="J296" s="219">
        <v>131.85210000000001</v>
      </c>
      <c r="K296" s="219">
        <v>187.80279999999999</v>
      </c>
      <c r="L296" s="219">
        <v>229.7782</v>
      </c>
      <c r="M296" s="219">
        <v>257.75349999999997</v>
      </c>
      <c r="N296" s="219">
        <v>1864.0773899999999</v>
      </c>
    </row>
    <row r="297" spans="1:14" x14ac:dyDescent="0.2">
      <c r="A297" t="s">
        <v>181</v>
      </c>
      <c r="B297" s="219">
        <v>219.21340000000001</v>
      </c>
      <c r="C297" s="219">
        <v>169</v>
      </c>
      <c r="D297" s="219">
        <v>148.10669999999999</v>
      </c>
      <c r="E297" s="219">
        <v>97.10669</v>
      </c>
      <c r="F297" s="219">
        <v>57.10669</v>
      </c>
      <c r="G297" s="219">
        <v>44.10669</v>
      </c>
      <c r="H297" s="219">
        <v>50</v>
      </c>
      <c r="I297" s="219">
        <v>75.213380000000001</v>
      </c>
      <c r="J297" s="219">
        <v>112.1067</v>
      </c>
      <c r="K297" s="219">
        <v>161.3201</v>
      </c>
      <c r="L297" s="219">
        <v>190.21340000000001</v>
      </c>
      <c r="M297" s="219">
        <v>212.21340000000001</v>
      </c>
      <c r="N297" s="219">
        <v>1535.70715</v>
      </c>
    </row>
    <row r="298" spans="1:14" x14ac:dyDescent="0.2">
      <c r="A298" t="s">
        <v>182</v>
      </c>
      <c r="B298" s="219">
        <v>187.73150000000001</v>
      </c>
      <c r="C298" s="219">
        <v>159.7105</v>
      </c>
      <c r="D298" s="219">
        <v>118.9444</v>
      </c>
      <c r="E298" s="219">
        <v>77.807360000000003</v>
      </c>
      <c r="F298" s="219">
        <v>48.655670000000001</v>
      </c>
      <c r="G298" s="219">
        <v>34.162619999999997</v>
      </c>
      <c r="H298" s="219">
        <v>40.98507</v>
      </c>
      <c r="I298" s="219">
        <v>63.807519999999997</v>
      </c>
      <c r="J298" s="219">
        <v>91.807519999999997</v>
      </c>
      <c r="K298" s="219">
        <v>126.64060000000001</v>
      </c>
      <c r="L298" s="219">
        <v>151.89830000000001</v>
      </c>
      <c r="M298" s="219">
        <v>182.86250000000001</v>
      </c>
      <c r="N298" s="219">
        <v>1285.0135599999999</v>
      </c>
    </row>
    <row r="299" spans="1:14" x14ac:dyDescent="0.2">
      <c r="A299" t="s">
        <v>183</v>
      </c>
      <c r="B299" s="219">
        <v>206.11019999999999</v>
      </c>
      <c r="C299" s="219">
        <v>161.62260000000001</v>
      </c>
      <c r="D299" s="219">
        <v>142.0361</v>
      </c>
      <c r="E299" s="219">
        <v>92.929969999999997</v>
      </c>
      <c r="F299" s="219">
        <v>62.865989999999996</v>
      </c>
      <c r="G299" s="219">
        <v>48.231740000000002</v>
      </c>
      <c r="H299" s="219">
        <v>58.603209999999997</v>
      </c>
      <c r="I299" s="219">
        <v>80.915019999999998</v>
      </c>
      <c r="J299" s="219">
        <v>111.4919</v>
      </c>
      <c r="K299" s="219">
        <v>152.82</v>
      </c>
      <c r="L299" s="219">
        <v>185.51480000000001</v>
      </c>
      <c r="M299" s="219">
        <v>205.94460000000001</v>
      </c>
      <c r="N299" s="219">
        <v>1509.0861300000001</v>
      </c>
    </row>
    <row r="300" spans="1:14" x14ac:dyDescent="0.2">
      <c r="A300" t="s">
        <v>184</v>
      </c>
      <c r="B300" s="219">
        <v>234.24100000000001</v>
      </c>
      <c r="C300" s="219">
        <v>220.8177</v>
      </c>
      <c r="D300" s="219">
        <v>216.964</v>
      </c>
      <c r="E300" s="219">
        <v>176.41569999999999</v>
      </c>
      <c r="F300" s="219">
        <v>161.79419999999999</v>
      </c>
      <c r="G300" s="219">
        <v>148.8322</v>
      </c>
      <c r="H300" s="219">
        <v>155.26820000000001</v>
      </c>
      <c r="I300" s="219">
        <v>169.3194</v>
      </c>
      <c r="J300" s="219">
        <v>183.9836</v>
      </c>
      <c r="K300" s="219">
        <v>240.51480000000001</v>
      </c>
      <c r="L300" s="219">
        <v>263.38780000000003</v>
      </c>
      <c r="M300" s="219">
        <v>294.0942</v>
      </c>
      <c r="N300" s="219">
        <v>2465.6328000000003</v>
      </c>
    </row>
    <row r="301" spans="1:14" x14ac:dyDescent="0.2">
      <c r="A301" t="s">
        <v>185</v>
      </c>
      <c r="B301" s="219">
        <v>222</v>
      </c>
      <c r="C301" s="219">
        <v>168</v>
      </c>
      <c r="D301" s="219">
        <v>149</v>
      </c>
      <c r="E301" s="219">
        <v>98</v>
      </c>
      <c r="F301" s="219">
        <v>57</v>
      </c>
      <c r="G301" s="219">
        <v>45</v>
      </c>
      <c r="H301" s="219">
        <v>50</v>
      </c>
      <c r="I301" s="219">
        <v>77</v>
      </c>
      <c r="J301" s="219">
        <v>113</v>
      </c>
      <c r="K301" s="219">
        <v>165</v>
      </c>
      <c r="L301" s="219">
        <v>192</v>
      </c>
      <c r="M301" s="219">
        <v>216</v>
      </c>
      <c r="N301" s="219">
        <v>1552</v>
      </c>
    </row>
    <row r="302" spans="1:14" x14ac:dyDescent="0.2">
      <c r="A302" t="s">
        <v>186</v>
      </c>
      <c r="B302" s="219">
        <v>215.78909999999999</v>
      </c>
      <c r="C302" s="219">
        <v>174.57820000000001</v>
      </c>
      <c r="D302" s="219">
        <v>150</v>
      </c>
      <c r="E302" s="219">
        <v>94.789100000000005</v>
      </c>
      <c r="F302" s="219">
        <v>56</v>
      </c>
      <c r="G302" s="219">
        <v>38</v>
      </c>
      <c r="H302" s="219">
        <v>51</v>
      </c>
      <c r="I302" s="219">
        <v>74</v>
      </c>
      <c r="J302" s="219">
        <v>108</v>
      </c>
      <c r="K302" s="219">
        <v>151.78909999999999</v>
      </c>
      <c r="L302" s="219">
        <v>188.57820000000001</v>
      </c>
      <c r="M302" s="219">
        <v>210.78909999999999</v>
      </c>
      <c r="N302" s="219">
        <v>1513.3127999999999</v>
      </c>
    </row>
    <row r="303" spans="1:14" x14ac:dyDescent="0.2">
      <c r="A303" t="s">
        <v>187</v>
      </c>
      <c r="B303" s="219">
        <v>253</v>
      </c>
      <c r="C303" s="219">
        <v>203</v>
      </c>
      <c r="D303" s="219">
        <v>176</v>
      </c>
      <c r="E303" s="219">
        <v>116</v>
      </c>
      <c r="F303" s="219">
        <v>79</v>
      </c>
      <c r="G303" s="219">
        <v>60</v>
      </c>
      <c r="H303" s="219">
        <v>73</v>
      </c>
      <c r="I303" s="219">
        <v>98</v>
      </c>
      <c r="J303" s="219">
        <v>132</v>
      </c>
      <c r="K303" s="219">
        <v>188</v>
      </c>
      <c r="L303" s="219">
        <v>230</v>
      </c>
      <c r="M303" s="219">
        <v>258</v>
      </c>
      <c r="N303" s="219">
        <v>1866</v>
      </c>
    </row>
    <row r="304" spans="1:14" x14ac:dyDescent="0.2">
      <c r="A304" t="s">
        <v>188</v>
      </c>
      <c r="B304" s="219">
        <v>214.8742</v>
      </c>
      <c r="C304" s="219">
        <v>163</v>
      </c>
      <c r="D304" s="219">
        <v>143.8742</v>
      </c>
      <c r="E304" s="219">
        <v>94</v>
      </c>
      <c r="F304" s="219">
        <v>55</v>
      </c>
      <c r="G304" s="219">
        <v>43</v>
      </c>
      <c r="H304" s="219">
        <v>47.874189999999999</v>
      </c>
      <c r="I304" s="219">
        <v>73.874189999999999</v>
      </c>
      <c r="J304" s="219">
        <v>108.8742</v>
      </c>
      <c r="K304" s="219">
        <v>158.8742</v>
      </c>
      <c r="L304" s="219">
        <v>185.8742</v>
      </c>
      <c r="M304" s="219">
        <v>207.8742</v>
      </c>
      <c r="N304" s="219">
        <v>1496.9935799999998</v>
      </c>
    </row>
    <row r="305" spans="1:14" x14ac:dyDescent="0.2">
      <c r="A305" t="s">
        <v>189</v>
      </c>
      <c r="B305" s="219">
        <v>217.3409</v>
      </c>
      <c r="C305" s="219">
        <v>174.26840000000001</v>
      </c>
      <c r="D305" s="219">
        <v>151.16050000000001</v>
      </c>
      <c r="E305" s="219">
        <v>97.143450000000001</v>
      </c>
      <c r="F305" s="219">
        <v>61.198889999999999</v>
      </c>
      <c r="G305" s="219">
        <v>44.16339</v>
      </c>
      <c r="H305" s="219">
        <v>56.217370000000003</v>
      </c>
      <c r="I305" s="219">
        <v>78.198890000000006</v>
      </c>
      <c r="J305" s="219">
        <v>111.2159</v>
      </c>
      <c r="K305" s="219">
        <v>155.34229999999999</v>
      </c>
      <c r="L305" s="219">
        <v>192.32390000000001</v>
      </c>
      <c r="M305" s="219">
        <v>215.30539999999999</v>
      </c>
      <c r="N305" s="219">
        <v>1553.8792900000001</v>
      </c>
    </row>
    <row r="306" spans="1:14" x14ac:dyDescent="0.2">
      <c r="A306" t="s">
        <v>190</v>
      </c>
      <c r="B306" s="219">
        <v>227.81020000000001</v>
      </c>
      <c r="C306" s="219">
        <v>187.20570000000001</v>
      </c>
      <c r="D306" s="219">
        <v>156.44630000000001</v>
      </c>
      <c r="E306" s="219">
        <v>99.157060000000001</v>
      </c>
      <c r="F306" s="219">
        <v>63.131929999999997</v>
      </c>
      <c r="G306" s="219">
        <v>45.648820000000001</v>
      </c>
      <c r="H306" s="219">
        <v>51.923639999999999</v>
      </c>
      <c r="I306" s="219">
        <v>75.588949999999997</v>
      </c>
      <c r="J306" s="219">
        <v>110.3094</v>
      </c>
      <c r="K306" s="219">
        <v>163.72499999999999</v>
      </c>
      <c r="L306" s="219">
        <v>191.08099999999999</v>
      </c>
      <c r="M306" s="219">
        <v>214.9546</v>
      </c>
      <c r="N306" s="219">
        <v>1586.9825999999998</v>
      </c>
    </row>
    <row r="307" spans="1:14" x14ac:dyDescent="0.2">
      <c r="A307" t="s">
        <v>191</v>
      </c>
      <c r="B307" s="219">
        <v>219.08320000000001</v>
      </c>
      <c r="C307" s="219">
        <v>176.74289999999999</v>
      </c>
      <c r="D307" s="219">
        <v>152.80350000000001</v>
      </c>
      <c r="E307" s="219">
        <v>97.161360000000002</v>
      </c>
      <c r="F307" s="219">
        <v>59.519269999999999</v>
      </c>
      <c r="G307" s="219">
        <v>41.597969999999997</v>
      </c>
      <c r="H307" s="219">
        <v>54.469140000000003</v>
      </c>
      <c r="I307" s="219">
        <v>76.519270000000006</v>
      </c>
      <c r="J307" s="219">
        <v>111.1112</v>
      </c>
      <c r="K307" s="219">
        <v>155.60239999999999</v>
      </c>
      <c r="L307" s="219">
        <v>192.44110000000001</v>
      </c>
      <c r="M307" s="219">
        <v>215.1112</v>
      </c>
      <c r="N307" s="219">
        <v>1552.1625100000001</v>
      </c>
    </row>
    <row r="308" spans="1:14" x14ac:dyDescent="0.2">
      <c r="A308" t="s">
        <v>192</v>
      </c>
      <c r="B308" s="219">
        <v>213.69319999999999</v>
      </c>
      <c r="C308" s="219">
        <v>164.42619999999999</v>
      </c>
      <c r="D308" s="219">
        <v>143.96629999999999</v>
      </c>
      <c r="E308" s="219">
        <v>93.45872</v>
      </c>
      <c r="F308" s="219">
        <v>55.503869999999999</v>
      </c>
      <c r="G308" s="219">
        <v>43.01972</v>
      </c>
      <c r="H308" s="219">
        <v>47.861190000000001</v>
      </c>
      <c r="I308" s="219">
        <v>73.059979999999996</v>
      </c>
      <c r="J308" s="219">
        <v>108.55159999999999</v>
      </c>
      <c r="K308" s="219">
        <v>157.27850000000001</v>
      </c>
      <c r="L308" s="219">
        <v>183.83750000000001</v>
      </c>
      <c r="M308" s="219">
        <v>206.63499999999999</v>
      </c>
      <c r="N308" s="219">
        <v>1491.29178</v>
      </c>
    </row>
    <row r="309" spans="1:14" x14ac:dyDescent="0.2">
      <c r="A309" t="s">
        <v>193</v>
      </c>
      <c r="B309" s="219">
        <v>251.60589999999999</v>
      </c>
      <c r="C309" s="219">
        <v>213.5712</v>
      </c>
      <c r="D309" s="219">
        <v>176.4812</v>
      </c>
      <c r="E309" s="219">
        <v>128.76240000000001</v>
      </c>
      <c r="F309" s="219">
        <v>99.745059999999995</v>
      </c>
      <c r="G309" s="219">
        <v>69.750709999999998</v>
      </c>
      <c r="H309" s="219">
        <v>85.256960000000007</v>
      </c>
      <c r="I309" s="219">
        <v>104.4115</v>
      </c>
      <c r="J309" s="219">
        <v>140.27430000000001</v>
      </c>
      <c r="K309" s="219">
        <v>185.6482</v>
      </c>
      <c r="L309" s="219">
        <v>224.86850000000001</v>
      </c>
      <c r="M309" s="219">
        <v>257.93340000000001</v>
      </c>
      <c r="N309" s="219">
        <v>1938.30933</v>
      </c>
    </row>
    <row r="310" spans="1:14" x14ac:dyDescent="0.2">
      <c r="A310" t="s">
        <v>990</v>
      </c>
      <c r="B310" s="219">
        <v>250.68629999999999</v>
      </c>
      <c r="C310" s="219">
        <v>200.68629999999999</v>
      </c>
      <c r="D310" s="219">
        <v>174.2647</v>
      </c>
      <c r="E310" s="219">
        <v>114.2647</v>
      </c>
      <c r="F310" s="219">
        <v>77.843170000000001</v>
      </c>
      <c r="G310" s="219">
        <v>59.132370000000002</v>
      </c>
      <c r="H310" s="219">
        <v>71.843170000000001</v>
      </c>
      <c r="I310" s="219">
        <v>96.264750000000006</v>
      </c>
      <c r="J310" s="219">
        <v>130.2647</v>
      </c>
      <c r="K310" s="219">
        <v>185.68629999999999</v>
      </c>
      <c r="L310" s="219">
        <v>227.39709999999999</v>
      </c>
      <c r="M310" s="219">
        <v>255.1079</v>
      </c>
      <c r="N310" s="219">
        <v>1843.44146</v>
      </c>
    </row>
    <row r="311" spans="1:14" x14ac:dyDescent="0.2">
      <c r="A311" t="s">
        <v>194</v>
      </c>
      <c r="B311" s="219">
        <v>198.11850000000001</v>
      </c>
      <c r="C311" s="219">
        <v>155.1352</v>
      </c>
      <c r="D311" s="219">
        <v>136.7243</v>
      </c>
      <c r="E311" s="219">
        <v>90.370509999999996</v>
      </c>
      <c r="F311" s="219">
        <v>61.959620000000001</v>
      </c>
      <c r="G311" s="219">
        <v>48</v>
      </c>
      <c r="H311" s="219">
        <v>57.451270000000001</v>
      </c>
      <c r="I311" s="219">
        <v>80.508349999999993</v>
      </c>
      <c r="J311" s="219">
        <v>109.95959999999999</v>
      </c>
      <c r="K311" s="219">
        <v>149.87889999999999</v>
      </c>
      <c r="L311" s="219">
        <v>179.7243</v>
      </c>
      <c r="M311" s="219">
        <v>199.1756</v>
      </c>
      <c r="N311" s="219">
        <v>1467.0061499999999</v>
      </c>
    </row>
    <row r="312" spans="1:14" x14ac:dyDescent="0.2">
      <c r="A312" t="s">
        <v>195</v>
      </c>
      <c r="B312" s="219">
        <v>243.518</v>
      </c>
      <c r="C312" s="219">
        <v>218.0283</v>
      </c>
      <c r="D312" s="219">
        <v>207.30940000000001</v>
      </c>
      <c r="E312" s="219">
        <v>164.84299999999999</v>
      </c>
      <c r="F312" s="219">
        <v>152.43860000000001</v>
      </c>
      <c r="G312" s="219">
        <v>138.93889999999999</v>
      </c>
      <c r="H312" s="219">
        <v>148.88800000000001</v>
      </c>
      <c r="I312" s="219">
        <v>163.65889999999999</v>
      </c>
      <c r="J312" s="219">
        <v>178.70750000000001</v>
      </c>
      <c r="K312" s="219">
        <v>234.40889999999999</v>
      </c>
      <c r="L312" s="219">
        <v>251.6574</v>
      </c>
      <c r="M312" s="219">
        <v>282.17669999999998</v>
      </c>
      <c r="N312" s="219">
        <v>2384.5735999999997</v>
      </c>
    </row>
    <row r="313" spans="1:14" x14ac:dyDescent="0.2">
      <c r="A313" t="s">
        <v>196</v>
      </c>
      <c r="B313" s="219">
        <v>242.8826</v>
      </c>
      <c r="C313" s="219">
        <v>193.64920000000001</v>
      </c>
      <c r="D313" s="219">
        <v>168.0977</v>
      </c>
      <c r="E313" s="219">
        <v>110.36709999999999</v>
      </c>
      <c r="F313" s="219">
        <v>75.428529999999995</v>
      </c>
      <c r="G313" s="219">
        <v>56.141089999999998</v>
      </c>
      <c r="H313" s="219">
        <v>69.459270000000004</v>
      </c>
      <c r="I313" s="219">
        <v>91.815550000000002</v>
      </c>
      <c r="J313" s="219">
        <v>126.4285</v>
      </c>
      <c r="K313" s="219">
        <v>177.48480000000001</v>
      </c>
      <c r="L313" s="219">
        <v>218.2696</v>
      </c>
      <c r="M313" s="219">
        <v>245.7903</v>
      </c>
      <c r="N313" s="219">
        <v>1775.8142400000002</v>
      </c>
    </row>
    <row r="314" spans="1:14" x14ac:dyDescent="0.2">
      <c r="A314" t="s">
        <v>197</v>
      </c>
      <c r="B314" s="219">
        <v>215.21209999999999</v>
      </c>
      <c r="C314" s="219">
        <v>173.22620000000001</v>
      </c>
      <c r="D314" s="219">
        <v>150</v>
      </c>
      <c r="E314" s="219">
        <v>94.212090000000003</v>
      </c>
      <c r="F314" s="219">
        <v>56.09901</v>
      </c>
      <c r="G314" s="219">
        <v>38.09901</v>
      </c>
      <c r="H314" s="219">
        <v>51</v>
      </c>
      <c r="I314" s="219">
        <v>74</v>
      </c>
      <c r="J314" s="219">
        <v>108.19799999999999</v>
      </c>
      <c r="K314" s="219">
        <v>151.31110000000001</v>
      </c>
      <c r="L314" s="219">
        <v>187.3252</v>
      </c>
      <c r="M314" s="219">
        <v>210.1131</v>
      </c>
      <c r="N314" s="219">
        <v>1508.7958100000001</v>
      </c>
    </row>
    <row r="315" spans="1:14" x14ac:dyDescent="0.2">
      <c r="A315" t="s">
        <v>198</v>
      </c>
      <c r="B315" s="219">
        <v>222.22290000000001</v>
      </c>
      <c r="C315" s="219">
        <v>168.22290000000001</v>
      </c>
      <c r="D315" s="219">
        <v>149.44569999999999</v>
      </c>
      <c r="E315" s="219">
        <v>98.445740000000001</v>
      </c>
      <c r="F315" s="219">
        <v>57.22287</v>
      </c>
      <c r="G315" s="219">
        <v>45.22287</v>
      </c>
      <c r="H315" s="219">
        <v>50.22287</v>
      </c>
      <c r="I315" s="219">
        <v>77.22287</v>
      </c>
      <c r="J315" s="219">
        <v>113.4457</v>
      </c>
      <c r="K315" s="219">
        <v>165.22290000000001</v>
      </c>
      <c r="L315" s="219">
        <v>192.44569999999999</v>
      </c>
      <c r="M315" s="219">
        <v>216.22290000000001</v>
      </c>
      <c r="N315" s="219">
        <v>1555.56592</v>
      </c>
    </row>
    <row r="316" spans="1:14" x14ac:dyDescent="0.2">
      <c r="A316" t="s">
        <v>199</v>
      </c>
      <c r="B316" s="219">
        <v>249.82730000000001</v>
      </c>
      <c r="C316" s="219">
        <v>220.1516</v>
      </c>
      <c r="D316" s="219">
        <v>205.13740000000001</v>
      </c>
      <c r="E316" s="219">
        <v>161.2518</v>
      </c>
      <c r="F316" s="219">
        <v>143.8742</v>
      </c>
      <c r="G316" s="219">
        <v>129.1369</v>
      </c>
      <c r="H316" s="219">
        <v>139.61019999999999</v>
      </c>
      <c r="I316" s="219">
        <v>157.1019</v>
      </c>
      <c r="J316" s="219">
        <v>176.61330000000001</v>
      </c>
      <c r="K316" s="219">
        <v>227.92930000000001</v>
      </c>
      <c r="L316" s="219">
        <v>249.28980000000001</v>
      </c>
      <c r="M316" s="219">
        <v>285.25400000000002</v>
      </c>
      <c r="N316" s="219">
        <v>2345.1777000000002</v>
      </c>
    </row>
    <row r="317" spans="1:14" x14ac:dyDescent="0.2">
      <c r="A317" t="s">
        <v>200</v>
      </c>
      <c r="B317" s="219">
        <v>200.1052</v>
      </c>
      <c r="C317" s="219">
        <v>167.79079999999999</v>
      </c>
      <c r="D317" s="219">
        <v>139.15989999999999</v>
      </c>
      <c r="E317" s="219">
        <v>86.916300000000007</v>
      </c>
      <c r="F317" s="219">
        <v>54.094529999999999</v>
      </c>
      <c r="G317" s="219">
        <v>40.761749999999999</v>
      </c>
      <c r="H317" s="219">
        <v>46.15455</v>
      </c>
      <c r="I317" s="219">
        <v>70.219899999999996</v>
      </c>
      <c r="J317" s="219">
        <v>99.892610000000005</v>
      </c>
      <c r="K317" s="219">
        <v>141.45060000000001</v>
      </c>
      <c r="L317" s="219">
        <v>165.91589999999999</v>
      </c>
      <c r="M317" s="219">
        <v>192.74879999999999</v>
      </c>
      <c r="N317" s="219">
        <v>1405.21084</v>
      </c>
    </row>
    <row r="318" spans="1:14" x14ac:dyDescent="0.2">
      <c r="A318" t="s">
        <v>201</v>
      </c>
      <c r="B318" s="219">
        <v>225.6095</v>
      </c>
      <c r="C318" s="219">
        <v>181.7611</v>
      </c>
      <c r="D318" s="219">
        <v>156.27420000000001</v>
      </c>
      <c r="E318" s="219">
        <v>99.799580000000006</v>
      </c>
      <c r="F318" s="219">
        <v>62.749200000000002</v>
      </c>
      <c r="G318" s="219">
        <v>42.770409999999998</v>
      </c>
      <c r="H318" s="219">
        <v>56.28472</v>
      </c>
      <c r="I318" s="219">
        <v>78.798820000000006</v>
      </c>
      <c r="J318" s="219">
        <v>112.81019999999999</v>
      </c>
      <c r="K318" s="219">
        <v>158.23419999999999</v>
      </c>
      <c r="L318" s="219">
        <v>197.18379999999999</v>
      </c>
      <c r="M318" s="219">
        <v>219.65940000000001</v>
      </c>
      <c r="N318" s="219">
        <v>1591.9351300000001</v>
      </c>
    </row>
    <row r="319" spans="1:14" x14ac:dyDescent="0.2">
      <c r="A319" t="s">
        <v>202</v>
      </c>
      <c r="B319" s="219">
        <v>195.2747</v>
      </c>
      <c r="C319" s="219">
        <v>164.0333</v>
      </c>
      <c r="D319" s="219">
        <v>136.77809999999999</v>
      </c>
      <c r="E319" s="219">
        <v>85.141800000000003</v>
      </c>
      <c r="F319" s="219">
        <v>53.231619999999999</v>
      </c>
      <c r="G319" s="219">
        <v>40.151539999999997</v>
      </c>
      <c r="H319" s="219">
        <v>45.802520000000001</v>
      </c>
      <c r="I319" s="219">
        <v>69.547929999999994</v>
      </c>
      <c r="J319" s="219">
        <v>98.977029999999999</v>
      </c>
      <c r="K319" s="219">
        <v>137.9408</v>
      </c>
      <c r="L319" s="219">
        <v>163.86080000000001</v>
      </c>
      <c r="M319" s="219">
        <v>194.2901</v>
      </c>
      <c r="N319" s="219">
        <v>1385.0302399999998</v>
      </c>
    </row>
    <row r="320" spans="1:14" x14ac:dyDescent="0.2">
      <c r="A320" t="s">
        <v>203</v>
      </c>
      <c r="B320" s="219">
        <v>262.80599999999998</v>
      </c>
      <c r="C320" s="219">
        <v>228.56190000000001</v>
      </c>
      <c r="D320" s="219">
        <v>207.2336</v>
      </c>
      <c r="E320" s="219">
        <v>157.60669999999999</v>
      </c>
      <c r="F320" s="219">
        <v>133.28479999999999</v>
      </c>
      <c r="G320" s="219">
        <v>115.78749999999999</v>
      </c>
      <c r="H320" s="219">
        <v>123.40479999999999</v>
      </c>
      <c r="I320" s="219">
        <v>144.90870000000001</v>
      </c>
      <c r="J320" s="219">
        <v>173.81209999999999</v>
      </c>
      <c r="K320" s="219">
        <v>232.18029999999999</v>
      </c>
      <c r="L320" s="219">
        <v>254.20869999999999</v>
      </c>
      <c r="M320" s="219">
        <v>298.46159999999998</v>
      </c>
      <c r="N320" s="219">
        <v>2332.2566999999999</v>
      </c>
    </row>
    <row r="321" spans="1:14" x14ac:dyDescent="0.2">
      <c r="A321" t="s">
        <v>204</v>
      </c>
      <c r="B321" s="219">
        <v>252.4958</v>
      </c>
      <c r="C321" s="219">
        <v>201.40889999999999</v>
      </c>
      <c r="D321" s="219">
        <v>176.33369999999999</v>
      </c>
      <c r="E321" s="219">
        <v>116.402</v>
      </c>
      <c r="F321" s="219">
        <v>79.883459999999999</v>
      </c>
      <c r="G321" s="219">
        <v>61.432389999999998</v>
      </c>
      <c r="H321" s="219">
        <v>74.643029999999996</v>
      </c>
      <c r="I321" s="219">
        <v>98.346260000000001</v>
      </c>
      <c r="J321" s="219">
        <v>134.14490000000001</v>
      </c>
      <c r="K321" s="219">
        <v>187.07480000000001</v>
      </c>
      <c r="L321" s="219">
        <v>228.62129999999999</v>
      </c>
      <c r="M321" s="219">
        <v>255.70650000000001</v>
      </c>
      <c r="N321" s="219">
        <v>1866.4930400000001</v>
      </c>
    </row>
    <row r="322" spans="1:14" x14ac:dyDescent="0.2">
      <c r="A322" t="s">
        <v>205</v>
      </c>
      <c r="B322" s="219">
        <v>135.03819999999999</v>
      </c>
      <c r="C322" s="219">
        <v>96.600610000000003</v>
      </c>
      <c r="D322" s="219">
        <v>75.471019999999996</v>
      </c>
      <c r="E322" s="219">
        <v>40.34075</v>
      </c>
      <c r="F322" s="219">
        <v>21.450959999999998</v>
      </c>
      <c r="G322" s="219">
        <v>11.251910000000001</v>
      </c>
      <c r="H322" s="219">
        <v>15.065939999999999</v>
      </c>
      <c r="I322" s="219">
        <v>30.68852</v>
      </c>
      <c r="J322" s="219">
        <v>63.827719999999999</v>
      </c>
      <c r="K322" s="219">
        <v>100.04600000000001</v>
      </c>
      <c r="L322" s="219">
        <v>135.06469999999999</v>
      </c>
      <c r="M322" s="219">
        <v>147.37809999999999</v>
      </c>
      <c r="N322" s="219">
        <v>872.2244300000001</v>
      </c>
    </row>
    <row r="323" spans="1:14" x14ac:dyDescent="0.2">
      <c r="A323" t="s">
        <v>206</v>
      </c>
      <c r="B323" s="219">
        <v>203.03749999999999</v>
      </c>
      <c r="C323" s="219">
        <v>161.1491</v>
      </c>
      <c r="D323" s="219">
        <v>140.9462</v>
      </c>
      <c r="E323" s="219">
        <v>90.384339999999995</v>
      </c>
      <c r="F323" s="219">
        <v>55.69</v>
      </c>
      <c r="G323" s="219">
        <v>41.416879999999999</v>
      </c>
      <c r="H323" s="219">
        <v>47</v>
      </c>
      <c r="I323" s="219">
        <v>71.195030000000003</v>
      </c>
      <c r="J323" s="219">
        <v>104.8951</v>
      </c>
      <c r="K323" s="219">
        <v>147.02760000000001</v>
      </c>
      <c r="L323" s="219">
        <v>171.70320000000001</v>
      </c>
      <c r="M323" s="219">
        <v>197.84289999999999</v>
      </c>
      <c r="N323" s="219">
        <v>1432.2878499999997</v>
      </c>
    </row>
    <row r="324" spans="1:14" x14ac:dyDescent="0.2">
      <c r="A324" t="s">
        <v>207</v>
      </c>
      <c r="B324" s="219">
        <v>230.80449999999999</v>
      </c>
      <c r="C324" s="219">
        <v>203.6283</v>
      </c>
      <c r="D324" s="219">
        <v>203.8476</v>
      </c>
      <c r="E324" s="219">
        <v>159.0926</v>
      </c>
      <c r="F324" s="219">
        <v>140.89070000000001</v>
      </c>
      <c r="G324" s="219">
        <v>123.92010000000001</v>
      </c>
      <c r="H324" s="219">
        <v>131.3503</v>
      </c>
      <c r="I324" s="219">
        <v>145.4571</v>
      </c>
      <c r="J324" s="219">
        <v>167.07839999999999</v>
      </c>
      <c r="K324" s="219">
        <v>217.52950000000001</v>
      </c>
      <c r="L324" s="219">
        <v>231.95959999999999</v>
      </c>
      <c r="M324" s="219">
        <v>248.91319999999999</v>
      </c>
      <c r="N324" s="219">
        <v>2204.4719000000005</v>
      </c>
    </row>
    <row r="325" spans="1:14" x14ac:dyDescent="0.2">
      <c r="A325" t="s">
        <v>208</v>
      </c>
      <c r="B325" s="219">
        <v>197.55459999999999</v>
      </c>
      <c r="C325" s="219">
        <v>164.82640000000001</v>
      </c>
      <c r="D325" s="219">
        <v>136.1249</v>
      </c>
      <c r="E325" s="219">
        <v>83.562460000000002</v>
      </c>
      <c r="F325" s="219">
        <v>53.317160000000001</v>
      </c>
      <c r="G325" s="219">
        <v>39.535939999999997</v>
      </c>
      <c r="H325" s="219">
        <v>45.426549999999999</v>
      </c>
      <c r="I325" s="219">
        <v>68.426550000000006</v>
      </c>
      <c r="J325" s="219">
        <v>98.317160000000001</v>
      </c>
      <c r="K325" s="219">
        <v>137.36250000000001</v>
      </c>
      <c r="L325" s="219">
        <v>162.47190000000001</v>
      </c>
      <c r="M325" s="219">
        <v>198.6266</v>
      </c>
      <c r="N325" s="219">
        <v>1385.5527200000001</v>
      </c>
    </row>
    <row r="326" spans="1:14" x14ac:dyDescent="0.2">
      <c r="A326" t="s">
        <v>209</v>
      </c>
      <c r="B326" s="219">
        <v>214.10669999999999</v>
      </c>
      <c r="C326" s="219">
        <v>162.10669999999999</v>
      </c>
      <c r="D326" s="219">
        <v>144.10669999999999</v>
      </c>
      <c r="E326" s="219">
        <v>95.404439999999994</v>
      </c>
      <c r="F326" s="219">
        <v>55.404440000000001</v>
      </c>
      <c r="G326" s="219">
        <v>43.702219999999997</v>
      </c>
      <c r="H326" s="219">
        <v>48.404440000000001</v>
      </c>
      <c r="I326" s="219">
        <v>74.404439999999994</v>
      </c>
      <c r="J326" s="219">
        <v>110.1067</v>
      </c>
      <c r="K326" s="219">
        <v>159.10669999999999</v>
      </c>
      <c r="L326" s="219">
        <v>185.40440000000001</v>
      </c>
      <c r="M326" s="219">
        <v>207.80889999999999</v>
      </c>
      <c r="N326" s="219">
        <v>1500.0667800000001</v>
      </c>
    </row>
    <row r="327" spans="1:14" x14ac:dyDescent="0.2">
      <c r="A327" t="s">
        <v>210</v>
      </c>
      <c r="B327" s="219">
        <v>165.9118</v>
      </c>
      <c r="C327" s="219">
        <v>117.28449999999999</v>
      </c>
      <c r="D327" s="219">
        <v>93.433109999999999</v>
      </c>
      <c r="E327" s="219">
        <v>50.766249999999999</v>
      </c>
      <c r="F327" s="219">
        <v>29.67915</v>
      </c>
      <c r="G327" s="219">
        <v>16.618870000000001</v>
      </c>
      <c r="H327" s="219">
        <v>21.214030000000001</v>
      </c>
      <c r="I327" s="219">
        <v>37.002249999999997</v>
      </c>
      <c r="J327" s="219">
        <v>76.209370000000007</v>
      </c>
      <c r="K327" s="219">
        <v>111.8235</v>
      </c>
      <c r="L327" s="219">
        <v>153.1662</v>
      </c>
      <c r="M327" s="219">
        <v>170.7801</v>
      </c>
      <c r="N327" s="219">
        <v>1043.88913</v>
      </c>
    </row>
    <row r="328" spans="1:14" x14ac:dyDescent="0.2">
      <c r="A328" t="s">
        <v>211</v>
      </c>
      <c r="B328" s="219">
        <v>149.03899999999999</v>
      </c>
      <c r="C328" s="219">
        <v>116.8994</v>
      </c>
      <c r="D328" s="219">
        <v>97.127480000000006</v>
      </c>
      <c r="E328" s="219">
        <v>54.762920000000001</v>
      </c>
      <c r="F328" s="219">
        <v>32.064709999999998</v>
      </c>
      <c r="G328" s="219">
        <v>22.285150000000002</v>
      </c>
      <c r="H328" s="219">
        <v>26.364270000000001</v>
      </c>
      <c r="I328" s="219">
        <v>46.212499999999999</v>
      </c>
      <c r="J328" s="219">
        <v>79.031459999999996</v>
      </c>
      <c r="K328" s="219">
        <v>118.96769999999999</v>
      </c>
      <c r="L328" s="219">
        <v>132.06059999999999</v>
      </c>
      <c r="M328" s="219">
        <v>154.09110000000001</v>
      </c>
      <c r="N328" s="219">
        <v>1028.9062900000001</v>
      </c>
    </row>
    <row r="329" spans="1:14" x14ac:dyDescent="0.2">
      <c r="A329" t="s">
        <v>212</v>
      </c>
      <c r="B329" s="219">
        <v>203.76089999999999</v>
      </c>
      <c r="C329" s="219">
        <v>165.9597</v>
      </c>
      <c r="D329" s="219">
        <v>140.13030000000001</v>
      </c>
      <c r="E329" s="219">
        <v>88.820899999999995</v>
      </c>
      <c r="F329" s="219">
        <v>54.743009999999998</v>
      </c>
      <c r="G329" s="219">
        <v>41</v>
      </c>
      <c r="H329" s="219">
        <v>46.566380000000002</v>
      </c>
      <c r="I329" s="219">
        <v>70.132760000000005</v>
      </c>
      <c r="J329" s="219">
        <v>102.2106</v>
      </c>
      <c r="K329" s="219">
        <v>147.15940000000001</v>
      </c>
      <c r="L329" s="219">
        <v>172.1558</v>
      </c>
      <c r="M329" s="219">
        <v>195.72569999999999</v>
      </c>
      <c r="N329" s="219">
        <v>1428.36545</v>
      </c>
    </row>
    <row r="330" spans="1:14" x14ac:dyDescent="0.2">
      <c r="A330" t="s">
        <v>213</v>
      </c>
      <c r="B330" s="219">
        <v>218.4479</v>
      </c>
      <c r="C330" s="219">
        <v>166.44499999999999</v>
      </c>
      <c r="D330" s="219">
        <v>147.30350000000001</v>
      </c>
      <c r="E330" s="219">
        <v>97.153199999999998</v>
      </c>
      <c r="F330" s="219">
        <v>57.153199999999998</v>
      </c>
      <c r="G330" s="219">
        <v>44.578780000000002</v>
      </c>
      <c r="H330" s="219">
        <v>49.587629999999997</v>
      </c>
      <c r="I330" s="219">
        <v>76.153199999999998</v>
      </c>
      <c r="J330" s="219">
        <v>112.15470000000001</v>
      </c>
      <c r="K330" s="219">
        <v>162.29900000000001</v>
      </c>
      <c r="L330" s="219">
        <v>189.44499999999999</v>
      </c>
      <c r="M330" s="219">
        <v>211.8691</v>
      </c>
      <c r="N330" s="219">
        <v>1532.5902099999998</v>
      </c>
    </row>
    <row r="331" spans="1:14" x14ac:dyDescent="0.2">
      <c r="A331" t="s">
        <v>214</v>
      </c>
      <c r="B331" s="219">
        <v>224.74260000000001</v>
      </c>
      <c r="C331" s="219">
        <v>181.82429999999999</v>
      </c>
      <c r="D331" s="219">
        <v>154.07550000000001</v>
      </c>
      <c r="E331" s="219">
        <v>99.004580000000004</v>
      </c>
      <c r="F331" s="219">
        <v>62.04316</v>
      </c>
      <c r="G331" s="219">
        <v>45.38288</v>
      </c>
      <c r="H331" s="219">
        <v>51.621699999999997</v>
      </c>
      <c r="I331" s="219">
        <v>74.594489999999993</v>
      </c>
      <c r="J331" s="219">
        <v>109.9393</v>
      </c>
      <c r="K331" s="219">
        <v>163.0437</v>
      </c>
      <c r="L331" s="219">
        <v>191.32169999999999</v>
      </c>
      <c r="M331" s="219">
        <v>215.42599999999999</v>
      </c>
      <c r="N331" s="219">
        <v>1573.01991</v>
      </c>
    </row>
    <row r="332" spans="1:14" x14ac:dyDescent="0.2">
      <c r="A332" t="s">
        <v>215</v>
      </c>
      <c r="B332" s="219">
        <v>195.9246</v>
      </c>
      <c r="C332" s="219">
        <v>165.13390000000001</v>
      </c>
      <c r="D332" s="219">
        <v>126.3704</v>
      </c>
      <c r="E332" s="219">
        <v>80.244479999999996</v>
      </c>
      <c r="F332" s="219">
        <v>50.265259999999998</v>
      </c>
      <c r="G332" s="219">
        <v>37.096310000000003</v>
      </c>
      <c r="H332" s="219">
        <v>43.134569999999997</v>
      </c>
      <c r="I332" s="219">
        <v>65.527569999999997</v>
      </c>
      <c r="J332" s="219">
        <v>94.583510000000004</v>
      </c>
      <c r="K332" s="219">
        <v>131.5523</v>
      </c>
      <c r="L332" s="219">
        <v>157.7963</v>
      </c>
      <c r="M332" s="219">
        <v>190.6841</v>
      </c>
      <c r="N332" s="219">
        <v>1338.3132999999998</v>
      </c>
    </row>
    <row r="333" spans="1:14" x14ac:dyDescent="0.2">
      <c r="A333" t="s">
        <v>216</v>
      </c>
      <c r="B333" s="219">
        <v>241.6026</v>
      </c>
      <c r="C333" s="219">
        <v>203.88659999999999</v>
      </c>
      <c r="D333" s="219">
        <v>186.79050000000001</v>
      </c>
      <c r="E333" s="219">
        <v>138.88630000000001</v>
      </c>
      <c r="F333" s="219">
        <v>112.2359</v>
      </c>
      <c r="G333" s="219">
        <v>93.871120000000005</v>
      </c>
      <c r="H333" s="219">
        <v>108.90940000000001</v>
      </c>
      <c r="I333" s="219">
        <v>132.86600000000001</v>
      </c>
      <c r="J333" s="219">
        <v>166.12299999999999</v>
      </c>
      <c r="K333" s="219">
        <v>218.00389999999999</v>
      </c>
      <c r="L333" s="219">
        <v>230.13159999999999</v>
      </c>
      <c r="M333" s="219">
        <v>254.61779999999999</v>
      </c>
      <c r="N333" s="219">
        <v>2087.92472</v>
      </c>
    </row>
    <row r="334" spans="1:14" x14ac:dyDescent="0.2">
      <c r="A334" t="s">
        <v>217</v>
      </c>
      <c r="B334" s="219">
        <v>193.024</v>
      </c>
      <c r="C334" s="219">
        <v>151.24090000000001</v>
      </c>
      <c r="D334" s="219">
        <v>133.24090000000001</v>
      </c>
      <c r="E334" s="219">
        <v>88.674660000000003</v>
      </c>
      <c r="F334" s="219">
        <v>60.891550000000002</v>
      </c>
      <c r="G334" s="219">
        <v>48</v>
      </c>
      <c r="H334" s="219">
        <v>56.783110000000001</v>
      </c>
      <c r="I334" s="219">
        <v>79</v>
      </c>
      <c r="J334" s="219">
        <v>106.1084</v>
      </c>
      <c r="K334" s="219">
        <v>145.78309999999999</v>
      </c>
      <c r="L334" s="219">
        <v>174.3493</v>
      </c>
      <c r="M334" s="219">
        <v>194.24090000000001</v>
      </c>
      <c r="N334" s="219">
        <v>1431.33682</v>
      </c>
    </row>
    <row r="335" spans="1:14" x14ac:dyDescent="0.2">
      <c r="A335" t="s">
        <v>218</v>
      </c>
      <c r="B335" s="219">
        <v>213.23439999999999</v>
      </c>
      <c r="C335" s="219">
        <v>170.59379999999999</v>
      </c>
      <c r="D335" s="219">
        <v>148.51560000000001</v>
      </c>
      <c r="E335" s="219">
        <v>95.71875</v>
      </c>
      <c r="F335" s="219">
        <v>59.640630000000002</v>
      </c>
      <c r="G335" s="219">
        <v>42.28125</v>
      </c>
      <c r="H335" s="219">
        <v>53.640630000000002</v>
      </c>
      <c r="I335" s="219">
        <v>77</v>
      </c>
      <c r="J335" s="219">
        <v>111</v>
      </c>
      <c r="K335" s="219">
        <v>155.35939999999999</v>
      </c>
      <c r="L335" s="219">
        <v>189.79689999999999</v>
      </c>
      <c r="M335" s="219">
        <v>211.15629999999999</v>
      </c>
      <c r="N335" s="219">
        <v>1527.9376600000001</v>
      </c>
    </row>
    <row r="336" spans="1:14" x14ac:dyDescent="0.2">
      <c r="A336" t="s">
        <v>219</v>
      </c>
      <c r="B336" s="219">
        <v>208.31469999999999</v>
      </c>
      <c r="C336" s="219">
        <v>174.79429999999999</v>
      </c>
      <c r="D336" s="219">
        <v>145.6823</v>
      </c>
      <c r="E336" s="219">
        <v>91.539389999999997</v>
      </c>
      <c r="F336" s="219">
        <v>58.321379999999998</v>
      </c>
      <c r="G336" s="219">
        <v>43.026260000000001</v>
      </c>
      <c r="H336" s="219">
        <v>49.8155</v>
      </c>
      <c r="I336" s="219">
        <v>72.581569999999999</v>
      </c>
      <c r="J336" s="219">
        <v>104.63339999999999</v>
      </c>
      <c r="K336" s="219">
        <v>154.5635</v>
      </c>
      <c r="L336" s="219">
        <v>177.0085</v>
      </c>
      <c r="M336" s="219">
        <v>202.94130000000001</v>
      </c>
      <c r="N336" s="219">
        <v>1483.2220999999997</v>
      </c>
    </row>
    <row r="337" spans="1:14" x14ac:dyDescent="0.2">
      <c r="A337" t="s">
        <v>220</v>
      </c>
      <c r="B337" s="219">
        <v>255.28280000000001</v>
      </c>
      <c r="C337" s="219">
        <v>220.18870000000001</v>
      </c>
      <c r="D337" s="219">
        <v>194.6584</v>
      </c>
      <c r="E337" s="219">
        <v>147.97130000000001</v>
      </c>
      <c r="F337" s="219">
        <v>119.34950000000001</v>
      </c>
      <c r="G337" s="219">
        <v>95.895930000000007</v>
      </c>
      <c r="H337" s="219">
        <v>107.88290000000001</v>
      </c>
      <c r="I337" s="219">
        <v>127.9556</v>
      </c>
      <c r="J337" s="219">
        <v>162.61539999999999</v>
      </c>
      <c r="K337" s="219">
        <v>216.8</v>
      </c>
      <c r="L337" s="219">
        <v>239.7217</v>
      </c>
      <c r="M337" s="219">
        <v>280.42989999999998</v>
      </c>
      <c r="N337" s="219">
        <v>2168.7521299999999</v>
      </c>
    </row>
    <row r="338" spans="1:14" x14ac:dyDescent="0.2">
      <c r="A338" t="s">
        <v>221</v>
      </c>
      <c r="B338" s="219">
        <v>205.8664</v>
      </c>
      <c r="C338" s="219">
        <v>178.3015</v>
      </c>
      <c r="D338" s="219">
        <v>146.48439999999999</v>
      </c>
      <c r="E338" s="219">
        <v>90.216220000000007</v>
      </c>
      <c r="F338" s="219">
        <v>58.811129999999999</v>
      </c>
      <c r="G338" s="219">
        <v>42.238019999999999</v>
      </c>
      <c r="H338" s="219">
        <v>49.202869999999997</v>
      </c>
      <c r="I338" s="219">
        <v>72.181420000000003</v>
      </c>
      <c r="J338" s="219">
        <v>101.5241</v>
      </c>
      <c r="K338" s="219">
        <v>148.83529999999999</v>
      </c>
      <c r="L338" s="219">
        <v>167.52699999999999</v>
      </c>
      <c r="M338" s="219">
        <v>195.79810000000001</v>
      </c>
      <c r="N338" s="219">
        <v>1456.9864600000001</v>
      </c>
    </row>
    <row r="339" spans="1:14" x14ac:dyDescent="0.2">
      <c r="A339" t="s">
        <v>222</v>
      </c>
      <c r="B339" s="219">
        <v>214.7955</v>
      </c>
      <c r="C339" s="219">
        <v>172.63900000000001</v>
      </c>
      <c r="D339" s="219">
        <v>148.91210000000001</v>
      </c>
      <c r="E339" s="219">
        <v>94.650540000000007</v>
      </c>
      <c r="F339" s="219">
        <v>56.014180000000003</v>
      </c>
      <c r="G339" s="219">
        <v>39.647880000000001</v>
      </c>
      <c r="H339" s="219">
        <v>50.534289999999999</v>
      </c>
      <c r="I339" s="219">
        <v>73.767150000000001</v>
      </c>
      <c r="J339" s="219">
        <v>108.65049999999999</v>
      </c>
      <c r="K339" s="219">
        <v>153.29839999999999</v>
      </c>
      <c r="L339" s="219">
        <v>188.054</v>
      </c>
      <c r="M339" s="219">
        <v>209.31559999999999</v>
      </c>
      <c r="N339" s="219">
        <v>1510.2791400000001</v>
      </c>
    </row>
    <row r="340" spans="1:14" x14ac:dyDescent="0.2">
      <c r="A340" t="s">
        <v>223</v>
      </c>
      <c r="B340" s="219">
        <v>216.00530000000001</v>
      </c>
      <c r="C340" s="219">
        <v>170.6199</v>
      </c>
      <c r="D340" s="219">
        <v>149.7987</v>
      </c>
      <c r="E340" s="219">
        <v>99.156279999999995</v>
      </c>
      <c r="F340" s="219">
        <v>68.335089999999994</v>
      </c>
      <c r="G340" s="219">
        <v>52.5139</v>
      </c>
      <c r="H340" s="219">
        <v>63.770859999999999</v>
      </c>
      <c r="I340" s="219">
        <v>85.770859999999999</v>
      </c>
      <c r="J340" s="219">
        <v>115.592</v>
      </c>
      <c r="K340" s="219">
        <v>160.67019999999999</v>
      </c>
      <c r="L340" s="219">
        <v>195.3126</v>
      </c>
      <c r="M340" s="219">
        <v>218.13380000000001</v>
      </c>
      <c r="N340" s="219">
        <v>1595.67949</v>
      </c>
    </row>
    <row r="341" spans="1:14" x14ac:dyDescent="0.2">
      <c r="A341" t="s">
        <v>224</v>
      </c>
      <c r="B341" s="219">
        <v>197.10249999999999</v>
      </c>
      <c r="C341" s="219">
        <v>169.41409999999999</v>
      </c>
      <c r="D341" s="219">
        <v>136.48679999999999</v>
      </c>
      <c r="E341" s="219">
        <v>84.822620000000001</v>
      </c>
      <c r="F341" s="219">
        <v>55.986339999999998</v>
      </c>
      <c r="G341" s="219">
        <v>39.42597</v>
      </c>
      <c r="H341" s="219">
        <v>47.125160000000001</v>
      </c>
      <c r="I341" s="219">
        <v>68.58717</v>
      </c>
      <c r="J341" s="219">
        <v>98.236980000000003</v>
      </c>
      <c r="K341" s="219">
        <v>138.5677</v>
      </c>
      <c r="L341" s="219">
        <v>160.16470000000001</v>
      </c>
      <c r="M341" s="219">
        <v>188.3537</v>
      </c>
      <c r="N341" s="219">
        <v>1384.2737400000001</v>
      </c>
    </row>
    <row r="342" spans="1:14" x14ac:dyDescent="0.2">
      <c r="A342" t="s">
        <v>225</v>
      </c>
      <c r="B342" s="219">
        <v>192.32470000000001</v>
      </c>
      <c r="C342" s="219">
        <v>150.32470000000001</v>
      </c>
      <c r="D342" s="219">
        <v>132.60390000000001</v>
      </c>
      <c r="E342" s="219">
        <v>88.441559999999996</v>
      </c>
      <c r="F342" s="219">
        <v>61.279220000000002</v>
      </c>
      <c r="G342" s="219">
        <v>48.279220000000002</v>
      </c>
      <c r="H342" s="219">
        <v>57</v>
      </c>
      <c r="I342" s="219">
        <v>79.558440000000004</v>
      </c>
      <c r="J342" s="219">
        <v>106.55840000000001</v>
      </c>
      <c r="K342" s="219">
        <v>145.44159999999999</v>
      </c>
      <c r="L342" s="219">
        <v>173.88310000000001</v>
      </c>
      <c r="M342" s="219">
        <v>193.32470000000001</v>
      </c>
      <c r="N342" s="219">
        <v>1429.0195400000002</v>
      </c>
    </row>
    <row r="343" spans="1:14" x14ac:dyDescent="0.2">
      <c r="A343" t="s">
        <v>226</v>
      </c>
      <c r="B343" s="219">
        <v>253</v>
      </c>
      <c r="C343" s="219">
        <v>203</v>
      </c>
      <c r="D343" s="219">
        <v>176</v>
      </c>
      <c r="E343" s="219">
        <v>116</v>
      </c>
      <c r="F343" s="219">
        <v>79</v>
      </c>
      <c r="G343" s="219">
        <v>60</v>
      </c>
      <c r="H343" s="219">
        <v>73</v>
      </c>
      <c r="I343" s="219">
        <v>98</v>
      </c>
      <c r="J343" s="219">
        <v>132</v>
      </c>
      <c r="K343" s="219">
        <v>188</v>
      </c>
      <c r="L343" s="219">
        <v>230</v>
      </c>
      <c r="M343" s="219">
        <v>258</v>
      </c>
      <c r="N343" s="219">
        <v>1866</v>
      </c>
    </row>
    <row r="344" spans="1:14" x14ac:dyDescent="0.2">
      <c r="A344" t="s">
        <v>227</v>
      </c>
      <c r="B344" s="219">
        <v>213.1926</v>
      </c>
      <c r="C344" s="219">
        <v>171.79509999999999</v>
      </c>
      <c r="D344" s="219">
        <v>148.1926</v>
      </c>
      <c r="E344" s="219">
        <v>93.397540000000006</v>
      </c>
      <c r="F344" s="219">
        <v>55.397539999999999</v>
      </c>
      <c r="G344" s="219">
        <v>38.602460000000001</v>
      </c>
      <c r="H344" s="219">
        <v>49.795070000000003</v>
      </c>
      <c r="I344" s="219">
        <v>73.397540000000006</v>
      </c>
      <c r="J344" s="219">
        <v>107.39749999999999</v>
      </c>
      <c r="K344" s="219">
        <v>151</v>
      </c>
      <c r="L344" s="219">
        <v>185.79509999999999</v>
      </c>
      <c r="M344" s="219">
        <v>207.59010000000001</v>
      </c>
      <c r="N344" s="219">
        <v>1495.5531500000002</v>
      </c>
    </row>
    <row r="345" spans="1:14" x14ac:dyDescent="0.2">
      <c r="A345" t="s">
        <v>228</v>
      </c>
      <c r="B345" s="219">
        <v>215.024</v>
      </c>
      <c r="C345" s="219">
        <v>163.57830000000001</v>
      </c>
      <c r="D345" s="219">
        <v>143.9324</v>
      </c>
      <c r="E345" s="219">
        <v>94.606920000000002</v>
      </c>
      <c r="F345" s="219">
        <v>55.24333</v>
      </c>
      <c r="G345" s="219">
        <v>43.151730000000001</v>
      </c>
      <c r="H345" s="219">
        <v>47.537300000000002</v>
      </c>
      <c r="I345" s="219">
        <v>73.537300000000002</v>
      </c>
      <c r="J345" s="219">
        <v>108.99250000000001</v>
      </c>
      <c r="K345" s="219">
        <v>158.9324</v>
      </c>
      <c r="L345" s="219">
        <v>186.08410000000001</v>
      </c>
      <c r="M345" s="219">
        <v>208.024</v>
      </c>
      <c r="N345" s="219">
        <v>1498.64428</v>
      </c>
    </row>
    <row r="346" spans="1:14" x14ac:dyDescent="0.2">
      <c r="A346" t="s">
        <v>229</v>
      </c>
      <c r="B346" s="219">
        <v>221.07859999999999</v>
      </c>
      <c r="C346" s="219">
        <v>175.24879999999999</v>
      </c>
      <c r="D346" s="219">
        <v>150.24539999999999</v>
      </c>
      <c r="E346" s="219">
        <v>97.154880000000006</v>
      </c>
      <c r="F346" s="219">
        <v>59.662170000000003</v>
      </c>
      <c r="G346" s="219">
        <v>44.676389999999998</v>
      </c>
      <c r="H346" s="219">
        <v>50.477719999999998</v>
      </c>
      <c r="I346" s="219">
        <v>73.971199999999996</v>
      </c>
      <c r="J346" s="219">
        <v>110.0613</v>
      </c>
      <c r="K346" s="219">
        <v>161.58160000000001</v>
      </c>
      <c r="L346" s="219">
        <v>189.8167</v>
      </c>
      <c r="M346" s="219">
        <v>212.33699999999999</v>
      </c>
      <c r="N346" s="219">
        <v>1546.31176</v>
      </c>
    </row>
    <row r="347" spans="1:14" x14ac:dyDescent="0.2">
      <c r="A347" t="s">
        <v>230</v>
      </c>
      <c r="B347" s="219">
        <v>193.19220000000001</v>
      </c>
      <c r="C347" s="219">
        <v>150.61850000000001</v>
      </c>
      <c r="D347" s="219">
        <v>134.58619999999999</v>
      </c>
      <c r="E347" s="219">
        <v>90.063019999999995</v>
      </c>
      <c r="F347" s="219">
        <v>64.051400000000001</v>
      </c>
      <c r="G347" s="219">
        <v>50.525579999999998</v>
      </c>
      <c r="H347" s="219">
        <v>59.033369999999998</v>
      </c>
      <c r="I347" s="219">
        <v>83.055350000000004</v>
      </c>
      <c r="J347" s="219">
        <v>111.07089999999999</v>
      </c>
      <c r="K347" s="219">
        <v>147.61080000000001</v>
      </c>
      <c r="L347" s="219">
        <v>176.14830000000001</v>
      </c>
      <c r="M347" s="219">
        <v>194.17019999999999</v>
      </c>
      <c r="N347" s="219">
        <v>1454.12582</v>
      </c>
    </row>
  </sheetData>
  <phoneticPr fontId="42" type="noConversion"/>
  <pageMargins left="0.75" right="0.75" top="1" bottom="1" header="0" footer="0"/>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dimension ref="B1:F9"/>
  <sheetViews>
    <sheetView topLeftCell="C1" workbookViewId="0">
      <selection activeCell="F7" sqref="F7"/>
    </sheetView>
  </sheetViews>
  <sheetFormatPr baseColWidth="10" defaultRowHeight="12.75" x14ac:dyDescent="0.2"/>
  <cols>
    <col min="1" max="1" width="7.85546875" customWidth="1"/>
    <col min="2" max="2" width="92.42578125" bestFit="1" customWidth="1"/>
    <col min="3" max="3" width="14.42578125" style="8" customWidth="1"/>
    <col min="4" max="4" width="10.85546875" style="8"/>
    <col min="5" max="5" width="3.42578125" customWidth="1"/>
    <col min="6" max="6" width="105.5703125" customWidth="1"/>
  </cols>
  <sheetData>
    <row r="1" spans="2:6" x14ac:dyDescent="0.2">
      <c r="B1" t="s">
        <v>413</v>
      </c>
      <c r="C1" s="8" t="s">
        <v>414</v>
      </c>
      <c r="D1" s="8" t="s">
        <v>415</v>
      </c>
    </row>
    <row r="2" spans="2:6" x14ac:dyDescent="0.2">
      <c r="C2" s="8" t="s">
        <v>812</v>
      </c>
      <c r="D2" s="447">
        <v>40087</v>
      </c>
      <c r="F2" t="s">
        <v>811</v>
      </c>
    </row>
    <row r="3" spans="2:6" x14ac:dyDescent="0.2">
      <c r="C3" s="8" t="s">
        <v>810</v>
      </c>
      <c r="D3" s="8" t="s">
        <v>813</v>
      </c>
      <c r="F3" t="s">
        <v>814</v>
      </c>
    </row>
    <row r="4" spans="2:6" x14ac:dyDescent="0.2">
      <c r="C4" s="8" t="s">
        <v>810</v>
      </c>
      <c r="D4" s="8" t="s">
        <v>813</v>
      </c>
      <c r="F4" t="s">
        <v>815</v>
      </c>
    </row>
    <row r="5" spans="2:6" x14ac:dyDescent="0.2">
      <c r="C5" s="8" t="s">
        <v>816</v>
      </c>
      <c r="D5" s="8" t="s">
        <v>822</v>
      </c>
      <c r="F5" t="s">
        <v>817</v>
      </c>
    </row>
    <row r="6" spans="2:6" x14ac:dyDescent="0.2">
      <c r="C6" s="8" t="s">
        <v>816</v>
      </c>
      <c r="D6" s="8" t="s">
        <v>822</v>
      </c>
      <c r="F6" t="s">
        <v>818</v>
      </c>
    </row>
    <row r="7" spans="2:6" x14ac:dyDescent="0.2">
      <c r="C7" s="8" t="s">
        <v>816</v>
      </c>
      <c r="D7" s="8" t="s">
        <v>822</v>
      </c>
      <c r="F7" t="s">
        <v>819</v>
      </c>
    </row>
    <row r="8" spans="2:6" x14ac:dyDescent="0.2">
      <c r="C8" s="8" t="s">
        <v>816</v>
      </c>
      <c r="D8" s="8" t="s">
        <v>822</v>
      </c>
      <c r="F8" t="s">
        <v>820</v>
      </c>
    </row>
    <row r="9" spans="2:6" x14ac:dyDescent="0.2">
      <c r="C9" s="8" t="s">
        <v>816</v>
      </c>
      <c r="D9" s="8" t="s">
        <v>822</v>
      </c>
      <c r="F9" t="s">
        <v>821</v>
      </c>
    </row>
  </sheetData>
  <customSheetViews>
    <customSheetView guid="{2239797F-3020-4364-93B0-F22DAADF645D}" state="hidden" showRuler="0" topLeftCell="C1">
      <selection activeCell="A18" sqref="A18"/>
      <pageMargins left="0.7" right="0.7" top="0.75" bottom="0.75" header="0.3" footer="0.3"/>
      <headerFooter alignWithMargins="0"/>
    </customSheetView>
  </customSheetViews>
  <phoneticPr fontId="0" type="noConversion"/>
  <pageMargins left="0.75" right="0.75" top="1" bottom="1" header="0" footer="0"/>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22"/>
  <sheetViews>
    <sheetView topLeftCell="Z1" zoomScale="60" zoomScaleNormal="60" workbookViewId="0">
      <selection activeCell="AK80" sqref="AK80"/>
    </sheetView>
  </sheetViews>
  <sheetFormatPr baseColWidth="10" defaultRowHeight="12.75" x14ac:dyDescent="0.2"/>
  <cols>
    <col min="1" max="1" width="7.5703125" style="11" customWidth="1"/>
    <col min="2" max="2" width="6.140625" style="11" customWidth="1"/>
    <col min="3" max="3" width="3.42578125" style="11" customWidth="1"/>
    <col min="4" max="4" width="6.140625" style="11" customWidth="1"/>
    <col min="5" max="5" width="6.140625" customWidth="1"/>
    <col min="6" max="6" width="3" customWidth="1"/>
    <col min="7" max="8" width="6.140625" customWidth="1"/>
    <col min="9" max="9" width="3.140625" customWidth="1"/>
    <col min="10" max="11" width="6.140625" customWidth="1"/>
    <col min="12" max="12" width="3.28515625" customWidth="1"/>
    <col min="13" max="13" width="7.85546875" customWidth="1"/>
    <col min="14" max="14" width="6.140625" customWidth="1"/>
    <col min="15" max="15" width="3.42578125" customWidth="1"/>
    <col min="16" max="17" width="6.5703125" customWidth="1"/>
    <col min="18" max="18" width="2.85546875" customWidth="1"/>
    <col min="19" max="20" width="6.140625" customWidth="1"/>
    <col min="21" max="21" width="2.42578125" customWidth="1"/>
    <col min="22" max="23" width="6.5703125" customWidth="1"/>
    <col min="24" max="24" width="5.85546875" customWidth="1"/>
    <col min="25" max="25" width="7.28515625" customWidth="1"/>
    <col min="26" max="26" width="5.140625" customWidth="1"/>
    <col min="27" max="27" width="7.7109375" customWidth="1"/>
    <col min="28" max="28" width="7.5703125" customWidth="1"/>
    <col min="29" max="29" width="7.7109375" customWidth="1"/>
    <col min="30" max="30" width="5.42578125" customWidth="1"/>
    <col min="31" max="33" width="7.28515625" customWidth="1"/>
    <col min="34" max="35" width="7.7109375" customWidth="1"/>
    <col min="36" max="37" width="7.85546875" customWidth="1"/>
    <col min="38" max="38" width="3.85546875" customWidth="1"/>
    <col min="39" max="39" width="4.28515625" customWidth="1"/>
    <col min="40" max="40" width="6.42578125" style="1132" customWidth="1"/>
    <col min="41" max="41" width="8" style="1132" customWidth="1"/>
    <col min="42" max="42" width="7.5703125" style="1132" customWidth="1"/>
    <col min="43" max="43" width="3.5703125" customWidth="1"/>
    <col min="44" max="48" width="6.42578125" customWidth="1"/>
    <col min="49" max="49" width="4.7109375" customWidth="1"/>
    <col min="50" max="61" width="6.42578125" customWidth="1"/>
  </cols>
  <sheetData>
    <row r="1" spans="1:61" s="1131" customFormat="1" x14ac:dyDescent="0.2">
      <c r="A1" s="1137" t="s">
        <v>510</v>
      </c>
      <c r="B1" s="1131">
        <f>'R1'!J2</f>
        <v>3</v>
      </c>
      <c r="D1" s="5"/>
      <c r="Y1" s="1137" t="s">
        <v>1275</v>
      </c>
      <c r="AN1" s="446"/>
      <c r="AO1" s="446"/>
      <c r="AP1" s="446"/>
      <c r="AR1" s="1137" t="s">
        <v>1274</v>
      </c>
      <c r="BG1" s="446"/>
      <c r="BH1" s="446"/>
      <c r="BI1" s="446"/>
    </row>
    <row r="2" spans="1:61" s="1131" customFormat="1" x14ac:dyDescent="0.2">
      <c r="A2" s="1102" t="s">
        <v>1241</v>
      </c>
      <c r="B2" s="40">
        <f>'R4'!J58*57.3</f>
        <v>-33</v>
      </c>
      <c r="C2" s="40"/>
      <c r="D2" s="5"/>
      <c r="Y2" s="1102" t="s">
        <v>1242</v>
      </c>
      <c r="Z2" s="1132">
        <f>'R4'!B11</f>
        <v>40</v>
      </c>
      <c r="AN2" s="446"/>
      <c r="AO2" s="446"/>
      <c r="AP2" s="446"/>
      <c r="AR2" s="1102" t="s">
        <v>1242</v>
      </c>
      <c r="AS2" s="1132">
        <f>CE_Chile!H186</f>
        <v>40</v>
      </c>
      <c r="BG2" s="446"/>
      <c r="BH2" s="446"/>
      <c r="BI2" s="446"/>
    </row>
    <row r="3" spans="1:61" s="1131" customFormat="1" x14ac:dyDescent="0.2">
      <c r="D3" s="5"/>
      <c r="Y3" s="1102" t="s">
        <v>1243</v>
      </c>
      <c r="Z3" s="1132">
        <f>180-CE_Chile!H167</f>
        <v>170</v>
      </c>
      <c r="AN3" s="446"/>
      <c r="AO3" s="446"/>
      <c r="AP3" s="446"/>
      <c r="AR3" s="1102" t="s">
        <v>1243</v>
      </c>
      <c r="AS3" s="1132">
        <f>180-CE_Chile!H187</f>
        <v>170</v>
      </c>
      <c r="BG3" s="446"/>
      <c r="BH3" s="446"/>
      <c r="BI3" s="446"/>
    </row>
    <row r="4" spans="1:61" s="1131" customFormat="1" x14ac:dyDescent="0.2">
      <c r="A4" s="1102"/>
      <c r="B4" s="5"/>
      <c r="C4" s="5"/>
      <c r="D4" s="5"/>
      <c r="AN4" s="446"/>
      <c r="AO4" s="446"/>
      <c r="AP4" s="446"/>
      <c r="BG4" s="446"/>
      <c r="BH4" s="446"/>
      <c r="BI4" s="446"/>
    </row>
    <row r="5" spans="1:61" x14ac:dyDescent="0.2">
      <c r="A5" s="1134" t="s">
        <v>1255</v>
      </c>
      <c r="B5" s="13"/>
      <c r="C5" s="13"/>
      <c r="G5" s="1133"/>
      <c r="H5" s="44"/>
      <c r="J5" s="1132"/>
      <c r="K5" s="1133"/>
      <c r="L5" s="1133"/>
      <c r="M5" s="1132"/>
      <c r="N5" s="1132"/>
      <c r="O5" s="1132"/>
      <c r="P5" s="152"/>
      <c r="Q5" s="152"/>
      <c r="R5" s="152"/>
      <c r="S5" s="13"/>
      <c r="T5" s="13"/>
      <c r="U5" s="13"/>
      <c r="V5" s="13"/>
      <c r="W5" s="1132"/>
      <c r="X5" s="1132"/>
      <c r="Y5" s="187"/>
      <c r="Z5" s="44"/>
      <c r="AR5" s="187"/>
      <c r="AS5" s="44"/>
      <c r="BG5" s="1132"/>
      <c r="BH5" s="1132"/>
      <c r="BI5" s="1132"/>
    </row>
    <row r="6" spans="1:61" x14ac:dyDescent="0.2">
      <c r="A6" s="1102" t="s">
        <v>574</v>
      </c>
      <c r="D6" s="230" t="s">
        <v>575</v>
      </c>
      <c r="G6" s="1068" t="s">
        <v>576</v>
      </c>
      <c r="J6" s="1068" t="s">
        <v>577</v>
      </c>
      <c r="M6" s="1068" t="s">
        <v>578</v>
      </c>
      <c r="P6" s="1068" t="s">
        <v>579</v>
      </c>
      <c r="Q6" s="1068"/>
      <c r="R6" s="1068"/>
      <c r="S6" s="1068" t="s">
        <v>580</v>
      </c>
      <c r="T6" s="1068"/>
      <c r="U6" s="1068"/>
      <c r="V6" s="1068" t="s">
        <v>1268</v>
      </c>
      <c r="Y6" s="1132" t="s">
        <v>1244</v>
      </c>
      <c r="Z6" s="230" t="s">
        <v>1245</v>
      </c>
      <c r="AA6" s="230" t="s">
        <v>1253</v>
      </c>
      <c r="AB6" s="1068" t="s">
        <v>1254</v>
      </c>
      <c r="AC6" s="1132" t="s">
        <v>1246</v>
      </c>
      <c r="AD6" s="1133" t="s">
        <v>1176</v>
      </c>
      <c r="AE6" s="1132" t="s">
        <v>548</v>
      </c>
      <c r="AF6" s="152" t="s">
        <v>1247</v>
      </c>
      <c r="AG6" s="186" t="s">
        <v>1248</v>
      </c>
      <c r="AH6" s="1132" t="s">
        <v>1249</v>
      </c>
      <c r="AI6" s="1132" t="s">
        <v>1250</v>
      </c>
      <c r="AJ6" s="152" t="s">
        <v>1251</v>
      </c>
      <c r="AK6" s="1068" t="s">
        <v>1252</v>
      </c>
      <c r="AN6" s="1134" t="s">
        <v>1269</v>
      </c>
      <c r="AO6" s="1134" t="s">
        <v>1272</v>
      </c>
      <c r="AP6" s="1134" t="s">
        <v>1273</v>
      </c>
      <c r="AR6" s="1132" t="s">
        <v>1244</v>
      </c>
      <c r="AS6" s="230" t="s">
        <v>1245</v>
      </c>
      <c r="AT6" s="230" t="s">
        <v>1253</v>
      </c>
      <c r="AU6" s="1068" t="s">
        <v>1254</v>
      </c>
      <c r="AV6" s="1132" t="s">
        <v>1246</v>
      </c>
      <c r="AW6" s="1133" t="s">
        <v>1176</v>
      </c>
      <c r="AX6" s="1132" t="s">
        <v>548</v>
      </c>
      <c r="AY6" s="152" t="s">
        <v>1247</v>
      </c>
      <c r="AZ6" s="186" t="s">
        <v>1248</v>
      </c>
      <c r="BA6" s="1132" t="s">
        <v>1249</v>
      </c>
      <c r="BB6" s="1132" t="s">
        <v>1250</v>
      </c>
      <c r="BC6" s="152" t="s">
        <v>1251</v>
      </c>
      <c r="BD6" s="1068" t="s">
        <v>1252</v>
      </c>
      <c r="BG6" s="1134" t="s">
        <v>1269</v>
      </c>
      <c r="BH6" s="1134" t="s">
        <v>1272</v>
      </c>
      <c r="BI6" s="1134" t="s">
        <v>1273</v>
      </c>
    </row>
    <row r="7" spans="1:61" x14ac:dyDescent="0.2">
      <c r="A7" s="11" t="s">
        <v>1256</v>
      </c>
      <c r="D7" s="11" t="s">
        <v>1256</v>
      </c>
      <c r="G7" t="s">
        <v>1256</v>
      </c>
      <c r="J7" t="s">
        <v>1256</v>
      </c>
      <c r="M7" t="s">
        <v>1256</v>
      </c>
      <c r="P7" t="s">
        <v>1256</v>
      </c>
      <c r="S7" t="s">
        <v>1256</v>
      </c>
      <c r="Y7" s="1132"/>
      <c r="Z7" s="11"/>
      <c r="AA7" s="11"/>
      <c r="AC7" s="1132"/>
      <c r="AD7" s="1133"/>
      <c r="AE7" s="1132"/>
      <c r="AG7" s="186"/>
      <c r="AH7" s="1132"/>
      <c r="AI7" s="1132"/>
      <c r="AJ7" s="152"/>
      <c r="AK7" s="152"/>
      <c r="AR7" s="1132"/>
      <c r="AS7" s="11"/>
      <c r="AT7" s="11"/>
      <c r="AV7" s="1132"/>
      <c r="AW7" s="1133"/>
      <c r="AX7" s="1132"/>
      <c r="AZ7" s="186"/>
      <c r="BA7" s="1132"/>
      <c r="BB7" s="1132"/>
      <c r="BC7" s="152"/>
      <c r="BD7" s="152"/>
      <c r="BG7" s="1132"/>
      <c r="BH7" s="1132"/>
      <c r="BI7" s="1132"/>
    </row>
    <row r="8" spans="1:61" x14ac:dyDescent="0.2">
      <c r="A8" s="1135">
        <v>0</v>
      </c>
      <c r="B8" s="1135">
        <v>0</v>
      </c>
      <c r="C8" s="1135"/>
      <c r="D8" s="1135">
        <v>7.3235749832886896E-7</v>
      </c>
      <c r="E8" s="187">
        <v>0</v>
      </c>
      <c r="F8" s="187"/>
      <c r="G8" s="187">
        <v>0</v>
      </c>
      <c r="H8" s="187">
        <v>0</v>
      </c>
      <c r="I8" s="187"/>
      <c r="J8" s="187">
        <v>1.0003828344332237E-3</v>
      </c>
      <c r="K8" s="187">
        <v>2.7960586283589119E-3</v>
      </c>
      <c r="L8" s="187"/>
      <c r="M8" s="187">
        <v>4.1681090748025947E-6</v>
      </c>
      <c r="N8" s="187">
        <v>5.41854179724337E-5</v>
      </c>
      <c r="O8" s="187"/>
      <c r="P8" s="187">
        <v>4.5413816560243867E-6</v>
      </c>
      <c r="Q8" s="187">
        <v>1.4229662522209744E-4</v>
      </c>
      <c r="R8" s="187"/>
      <c r="S8" s="187">
        <v>3.5788886771119825E-4</v>
      </c>
      <c r="T8" s="187">
        <v>2.3674699369359629E-3</v>
      </c>
      <c r="U8" s="187"/>
      <c r="V8" s="1138">
        <f t="shared" ref="V8:V23" si="0">CHOOSE($B$1,A8,D8,G8,J8,M8,P8,S8)</f>
        <v>0</v>
      </c>
      <c r="W8" s="1138">
        <f t="shared" ref="W8:W23" si="1">CHOOSE($B$1,B8,E8,H8,K8,N8,Q8,T8)</f>
        <v>0</v>
      </c>
      <c r="Y8" s="1132">
        <v>5</v>
      </c>
      <c r="Z8" s="44">
        <v>15</v>
      </c>
      <c r="AA8" s="1135">
        <f>V8</f>
        <v>0</v>
      </c>
      <c r="AB8" s="1135">
        <f t="shared" ref="AB8:AB23" si="2">W8</f>
        <v>0</v>
      </c>
      <c r="AC8" s="1132">
        <f>Y8-0.5</f>
        <v>4.5</v>
      </c>
      <c r="AD8" s="1133">
        <f>15*(AC8-12)</f>
        <v>-112.5</v>
      </c>
      <c r="AE8" s="186">
        <f t="shared" ref="AE8:AE23" si="3">23.45*SIN(360*(284+Z8)/365/57.3)</f>
        <v>-21.273216030587367</v>
      </c>
      <c r="AF8" s="40">
        <f t="shared" ref="AF8:AF23" si="4">((SIN(AE8/57.3)*SIN($B$2/57.3)*COS($Z$2/57.3))-SIN(AE8/57.3)*COS($B$2/57.3)*SIN($Z$2/57.3)*COS($Z$3/57.3)+COS(AE8/57.3)*COS($B$2/57.3)*COS($Z$2/57.3)*COS(AD8/57.3)+COS(AE8/57.3)*SIN($B$2/57.3)*SIN($Z$2/57.3)*COS($Z$3/57.3)*COS(AD8/57.3)+COS(AE8/57.3)*SIN($Z$2/57.3)*SIN($Z$3/57.3)*SIN(AD8/57.3))/(COS($B$2/57.3)*COS(AE8/57.3)*COS(AD8/57.3)+SIN($B$2/57.3)*SIN(AE8/57.3))</f>
        <v>4.8258840928706457</v>
      </c>
      <c r="AG8" s="13">
        <f t="shared" ref="AG8:AG23" si="5">57.3*ASIN(SIN($B$2/57.3)*SIN(AE8/57.3)+COS($B$2/57.3)*COS(AD8/57.3)*COS(AE8/57.6))</f>
        <v>-5.8335364225976063</v>
      </c>
      <c r="AH8" s="1132">
        <f>IF(AG8&lt;0,0,1)</f>
        <v>0</v>
      </c>
      <c r="AI8" s="1132">
        <f>IF(AF8&lt;0,0,1)</f>
        <v>1</v>
      </c>
      <c r="AJ8" s="187">
        <f>AF8*AI8*AH8</f>
        <v>0</v>
      </c>
      <c r="AK8" s="1136">
        <f>AA8*AJ8+((1+COS($Z$2/57.3))/2)*AB8+((1-COS($Z$2/57.3))/2)*(AA8+AB8)*0.2</f>
        <v>0</v>
      </c>
      <c r="AM8" s="1068" t="s">
        <v>340</v>
      </c>
      <c r="AN8" s="152">
        <f>AK24</f>
        <v>0.86192466535175039</v>
      </c>
      <c r="AO8" s="40">
        <f>'R4'!R28</f>
        <v>8.1131322580645158</v>
      </c>
      <c r="AP8" s="40">
        <f>AN8*AO8</f>
        <v>6.9929088064867484</v>
      </c>
      <c r="AR8" s="1132">
        <v>5</v>
      </c>
      <c r="AS8" s="44">
        <v>15</v>
      </c>
      <c r="AT8" s="1135">
        <f>V8</f>
        <v>0</v>
      </c>
      <c r="AU8" s="1135">
        <f t="shared" ref="AU8:AU65" si="6">W8</f>
        <v>0</v>
      </c>
      <c r="AV8" s="1132">
        <f>AR8-0.5</f>
        <v>4.5</v>
      </c>
      <c r="AW8" s="1133">
        <f>15*(AV8-12)</f>
        <v>-112.5</v>
      </c>
      <c r="AX8" s="186">
        <f t="shared" ref="AX8:AX23" si="7">23.45*SIN(360*(284+AS8)/365/57.3)</f>
        <v>-21.273216030587367</v>
      </c>
      <c r="AY8" s="40">
        <f t="shared" ref="AY8:AY23" si="8">((SIN(AX8/57.3)*SIN($B$2/57.3)*COS($AS$2/57.3))-SIN(AX8/57.3)*COS($B$2/57.3)*SIN($AS$2/57.3)*COS($AS$3/57.3)+COS(AX8/57.3)*COS($B$2/57.3)*COS($AS$2/57.3)*COS(AW8/57.3)+COS(AX8/57.3)*SIN($B$2/57.3)*SIN($AS$2/57.3)*COS($AS$3/57.3)*COS(AW8/57.3)+COS(AX8/57.3)*SIN($AS$2/57.3)*SIN($AS$3/57.3)*SIN(AW8/57.3))/(COS($B$2/57.3)*COS(AX8/57.3)*COS(AW8/57.3)+SIN($B$2/57.3)*SIN(AX8/57.3))</f>
        <v>4.8258840928706457</v>
      </c>
      <c r="AZ8" s="13">
        <f t="shared" ref="AZ8:AZ23" si="9">57.3*ASIN(SIN($B$2/57.3)*SIN(AX8/57.3)+COS($B$2/57.3)*COS(AW8/57.3)*COS(AX8/57.6))</f>
        <v>-5.8335364225976063</v>
      </c>
      <c r="BA8" s="1132">
        <f>IF(AZ8&lt;0,0,1)</f>
        <v>0</v>
      </c>
      <c r="BB8" s="1132">
        <f>IF(AY8&lt;0,0,1)</f>
        <v>1</v>
      </c>
      <c r="BC8" s="187">
        <f>AY8*BB8*BA8</f>
        <v>0</v>
      </c>
      <c r="BD8" s="1136">
        <f t="shared" ref="BD8:BD23" si="10">AT8*BC8+((1+COS($Z$2/57.3))/2)*AU8+((1-COS($Z$2/57.3))/2)*(AT8+AU8)*0.2</f>
        <v>0</v>
      </c>
      <c r="BF8" s="1068" t="s">
        <v>340</v>
      </c>
      <c r="BG8" s="152">
        <f>BD24</f>
        <v>0.86192466535175039</v>
      </c>
      <c r="BH8" s="40">
        <f>'R4'!R28</f>
        <v>8.1131322580645158</v>
      </c>
      <c r="BI8" s="40">
        <f>BG8*BH8</f>
        <v>6.9929088064867484</v>
      </c>
    </row>
    <row r="9" spans="1:61" x14ac:dyDescent="0.2">
      <c r="A9" s="1135">
        <v>0</v>
      </c>
      <c r="B9" s="1135">
        <v>5.0000000000000001E-4</v>
      </c>
      <c r="C9" s="1135"/>
      <c r="D9" s="1135">
        <v>1.4736027054753855E-6</v>
      </c>
      <c r="E9" s="187">
        <v>2.1033449452428654E-3</v>
      </c>
      <c r="F9" s="187"/>
      <c r="G9" s="187">
        <v>3.7643953240030996E-6</v>
      </c>
      <c r="H9" s="187">
        <v>2.1519618560290371E-3</v>
      </c>
      <c r="I9" s="187"/>
      <c r="J9" s="187">
        <v>7.7410033908192752E-3</v>
      </c>
      <c r="K9" s="187">
        <v>7.8048091296897279E-3</v>
      </c>
      <c r="L9" s="187"/>
      <c r="M9" s="187">
        <v>7.8981921705773548E-4</v>
      </c>
      <c r="N9" s="187">
        <v>4.444693179093703E-3</v>
      </c>
      <c r="O9" s="187"/>
      <c r="P9" s="187">
        <v>1.6060965262049177E-3</v>
      </c>
      <c r="Q9" s="187">
        <v>5.8825057136078461E-3</v>
      </c>
      <c r="R9" s="187"/>
      <c r="S9" s="187">
        <v>4.1433714930565035E-3</v>
      </c>
      <c r="T9" s="187">
        <v>1.3195921540630588E-2</v>
      </c>
      <c r="U9" s="187"/>
      <c r="V9" s="1138">
        <f t="shared" si="0"/>
        <v>3.7643953240030996E-6</v>
      </c>
      <c r="W9" s="1138">
        <f t="shared" si="1"/>
        <v>2.1519618560290371E-3</v>
      </c>
      <c r="X9" s="1132"/>
      <c r="Y9" s="1132">
        <v>6</v>
      </c>
      <c r="Z9" s="44">
        <v>15</v>
      </c>
      <c r="AA9" s="1135">
        <f t="shared" ref="AA9:AA23" si="11">V9</f>
        <v>3.7643953240030996E-6</v>
      </c>
      <c r="AB9" s="1135">
        <f t="shared" si="2"/>
        <v>2.1519618560290371E-3</v>
      </c>
      <c r="AC9" s="1132">
        <f t="shared" ref="AC9:AC66" si="12">Y9-0.5</f>
        <v>5.5</v>
      </c>
      <c r="AD9" s="1133">
        <f t="shared" ref="AD9:AD23" si="13">15*(AC9-12)</f>
        <v>-97.5</v>
      </c>
      <c r="AE9" s="186">
        <f t="shared" si="3"/>
        <v>-21.273216030587367</v>
      </c>
      <c r="AF9" s="40">
        <f t="shared" si="4"/>
        <v>-2.7643896226996199</v>
      </c>
      <c r="AG9" s="13">
        <f t="shared" si="5"/>
        <v>5.4853421049929745</v>
      </c>
      <c r="AH9" s="1132">
        <f t="shared" ref="AH9:AH23" si="14">IF(AG9&lt;0,0,1)</f>
        <v>1</v>
      </c>
      <c r="AI9" s="1132">
        <f t="shared" ref="AI9:AI23" si="15">IF(AF9&lt;0,0,1)</f>
        <v>0</v>
      </c>
      <c r="AJ9" s="187">
        <f t="shared" ref="AJ9:AJ23" si="16">AF9*AI9*AH9</f>
        <v>0</v>
      </c>
      <c r="AK9" s="1136">
        <f t="shared" ref="AK9:AK23" si="17">AA9*AJ9+((1+COS($Z$2/57.3))/2)*AB9+((1-COS($Z$2/57.3))/2)*(AA9+AB9)*0.2</f>
        <v>1.9506929907130701E-3</v>
      </c>
      <c r="AL9" s="1132"/>
      <c r="AM9" s="1068" t="s">
        <v>398</v>
      </c>
      <c r="AN9" s="152">
        <f>AK42</f>
        <v>0.93358509139815249</v>
      </c>
      <c r="AO9" s="40">
        <f>'R4'!R29</f>
        <v>7.2015285714285708</v>
      </c>
      <c r="AP9" s="40">
        <f t="shared" ref="AP9:AP19" si="18">AN9*AO9</f>
        <v>6.7232397095635488</v>
      </c>
      <c r="AR9" s="1132">
        <v>6</v>
      </c>
      <c r="AS9" s="44">
        <v>15</v>
      </c>
      <c r="AT9" s="1135">
        <f t="shared" ref="AT9:AT66" si="19">V9</f>
        <v>3.7643953240030996E-6</v>
      </c>
      <c r="AU9" s="1135">
        <f t="shared" si="6"/>
        <v>2.1519618560290371E-3</v>
      </c>
      <c r="AV9" s="1132">
        <f t="shared" ref="AV9:AV66" si="20">AR9-0.5</f>
        <v>5.5</v>
      </c>
      <c r="AW9" s="1133">
        <f t="shared" ref="AW9:AW23" si="21">15*(AV9-12)</f>
        <v>-97.5</v>
      </c>
      <c r="AX9" s="186">
        <f t="shared" si="7"/>
        <v>-21.273216030587367</v>
      </c>
      <c r="AY9" s="40">
        <f t="shared" si="8"/>
        <v>-2.7643896226996199</v>
      </c>
      <c r="AZ9" s="13">
        <f t="shared" si="9"/>
        <v>5.4853421049929745</v>
      </c>
      <c r="BA9" s="1132">
        <f t="shared" ref="BA9:BA23" si="22">IF(AZ9&lt;0,0,1)</f>
        <v>1</v>
      </c>
      <c r="BB9" s="1132">
        <f t="shared" ref="BB9:BB23" si="23">IF(AY9&lt;0,0,1)</f>
        <v>0</v>
      </c>
      <c r="BC9" s="187">
        <f t="shared" ref="BC9:BC23" si="24">AY9*BB9*BA9</f>
        <v>0</v>
      </c>
      <c r="BD9" s="1136">
        <f t="shared" si="10"/>
        <v>1.9506929907130701E-3</v>
      </c>
      <c r="BE9" s="1132"/>
      <c r="BF9" s="1068" t="s">
        <v>398</v>
      </c>
      <c r="BG9" s="152">
        <f>BD42</f>
        <v>0.93358509139815249</v>
      </c>
      <c r="BH9" s="40">
        <f>'R4'!R29</f>
        <v>7.2015285714285708</v>
      </c>
      <c r="BI9" s="40">
        <f t="shared" ref="BI9:BI19" si="25">BG9*BH9</f>
        <v>6.7232397095635488</v>
      </c>
    </row>
    <row r="10" spans="1:61" x14ac:dyDescent="0.2">
      <c r="A10" s="1135">
        <v>8.0000000000000002E-3</v>
      </c>
      <c r="B10" s="1135">
        <v>1.2848386422470571E-2</v>
      </c>
      <c r="C10" s="1135"/>
      <c r="D10" s="1135">
        <v>9.2399862069200249E-3</v>
      </c>
      <c r="E10" s="187">
        <v>1.6293794073228833E-2</v>
      </c>
      <c r="F10" s="187"/>
      <c r="G10" s="187">
        <v>1.1061480955039267E-2</v>
      </c>
      <c r="H10" s="187">
        <v>1.4886269410953116E-2</v>
      </c>
      <c r="I10" s="187"/>
      <c r="J10" s="187">
        <v>1.7658238232398711E-2</v>
      </c>
      <c r="K10" s="187">
        <v>1.4515805593028779E-2</v>
      </c>
      <c r="L10" s="187"/>
      <c r="M10" s="187">
        <v>1.1156289145525727E-2</v>
      </c>
      <c r="N10" s="187">
        <v>1.6805887153745935E-2</v>
      </c>
      <c r="O10" s="187"/>
      <c r="P10" s="187">
        <v>1.0676425793024013E-2</v>
      </c>
      <c r="Q10" s="187">
        <v>1.9202962683070618E-2</v>
      </c>
      <c r="R10" s="187"/>
      <c r="S10" s="187">
        <v>1.3383041443299069E-2</v>
      </c>
      <c r="T10" s="187">
        <v>2.2172026552978945E-2</v>
      </c>
      <c r="U10" s="187"/>
      <c r="V10" s="1138">
        <f t="shared" si="0"/>
        <v>1.1061480955039267E-2</v>
      </c>
      <c r="W10" s="1138">
        <f t="shared" si="1"/>
        <v>1.4886269410953116E-2</v>
      </c>
      <c r="Y10" s="1132">
        <v>7</v>
      </c>
      <c r="Z10" s="44">
        <v>15</v>
      </c>
      <c r="AA10" s="1135">
        <f t="shared" si="11"/>
        <v>1.1061480955039267E-2</v>
      </c>
      <c r="AB10" s="1135">
        <f t="shared" si="2"/>
        <v>1.4886269410953116E-2</v>
      </c>
      <c r="AC10" s="1132">
        <f t="shared" si="12"/>
        <v>6.5</v>
      </c>
      <c r="AD10" s="1133">
        <f t="shared" si="13"/>
        <v>-82.5</v>
      </c>
      <c r="AE10" s="186">
        <f t="shared" si="3"/>
        <v>-21.273216030587367</v>
      </c>
      <c r="AF10" s="40">
        <f t="shared" si="4"/>
        <v>-8.1090115427933457E-2</v>
      </c>
      <c r="AG10" s="13">
        <f t="shared" si="5"/>
        <v>17.44380806420461</v>
      </c>
      <c r="AH10" s="1132">
        <f t="shared" si="14"/>
        <v>1</v>
      </c>
      <c r="AI10" s="1132">
        <f t="shared" si="15"/>
        <v>0</v>
      </c>
      <c r="AJ10" s="187">
        <f t="shared" si="16"/>
        <v>0</v>
      </c>
      <c r="AK10" s="1136">
        <f t="shared" si="17"/>
        <v>1.3752128973287415E-2</v>
      </c>
      <c r="AL10" s="13"/>
      <c r="AM10" s="1068" t="s">
        <v>1270</v>
      </c>
      <c r="AN10" s="152">
        <f>AK60</f>
        <v>1.0490457490914806</v>
      </c>
      <c r="AO10" s="40">
        <f>'R4'!R30</f>
        <v>5.6423483870967743</v>
      </c>
      <c r="AP10" s="40">
        <f t="shared" si="18"/>
        <v>5.9190815903770435</v>
      </c>
      <c r="AR10" s="1132">
        <v>7</v>
      </c>
      <c r="AS10" s="44">
        <v>15</v>
      </c>
      <c r="AT10" s="1135">
        <f t="shared" si="19"/>
        <v>1.1061480955039267E-2</v>
      </c>
      <c r="AU10" s="1135">
        <f t="shared" si="6"/>
        <v>1.4886269410953116E-2</v>
      </c>
      <c r="AV10" s="1132">
        <f t="shared" si="20"/>
        <v>6.5</v>
      </c>
      <c r="AW10" s="1133">
        <f t="shared" si="21"/>
        <v>-82.5</v>
      </c>
      <c r="AX10" s="186">
        <f t="shared" si="7"/>
        <v>-21.273216030587367</v>
      </c>
      <c r="AY10" s="40">
        <f t="shared" si="8"/>
        <v>-8.1090115427933457E-2</v>
      </c>
      <c r="AZ10" s="13">
        <f t="shared" si="9"/>
        <v>17.44380806420461</v>
      </c>
      <c r="BA10" s="1132">
        <f t="shared" si="22"/>
        <v>1</v>
      </c>
      <c r="BB10" s="1132">
        <f t="shared" si="23"/>
        <v>0</v>
      </c>
      <c r="BC10" s="187">
        <f t="shared" si="24"/>
        <v>0</v>
      </c>
      <c r="BD10" s="1136">
        <f t="shared" si="10"/>
        <v>1.3752128973287415E-2</v>
      </c>
      <c r="BE10" s="13"/>
      <c r="BF10" s="1068" t="s">
        <v>1270</v>
      </c>
      <c r="BG10" s="152">
        <f>BD60</f>
        <v>1.0490457490914806</v>
      </c>
      <c r="BH10" s="40">
        <f>'R4'!R30</f>
        <v>5.6423483870967743</v>
      </c>
      <c r="BI10" s="40">
        <f t="shared" si="25"/>
        <v>5.9190815903770435</v>
      </c>
    </row>
    <row r="11" spans="1:61" x14ac:dyDescent="0.2">
      <c r="A11" s="1135">
        <v>0.03</v>
      </c>
      <c r="B11" s="1135">
        <v>2.1994624750244877E-2</v>
      </c>
      <c r="C11" s="1135"/>
      <c r="D11" s="1135">
        <v>2.5632206835259533E-2</v>
      </c>
      <c r="E11" s="187">
        <v>2.4976961126519169E-2</v>
      </c>
      <c r="F11" s="187"/>
      <c r="G11" s="187">
        <v>3.0833468285701604E-2</v>
      </c>
      <c r="H11" s="187">
        <v>2.3088121989488539E-2</v>
      </c>
      <c r="I11" s="187"/>
      <c r="J11" s="187">
        <v>3.2032759689357218E-2</v>
      </c>
      <c r="K11" s="187">
        <v>2.2970065993364222E-2</v>
      </c>
      <c r="L11" s="187"/>
      <c r="M11" s="187">
        <v>2.9792119185714484E-2</v>
      </c>
      <c r="N11" s="187">
        <v>2.3942551902929984E-2</v>
      </c>
      <c r="O11" s="187"/>
      <c r="P11" s="187">
        <v>2.8370841340515349E-2</v>
      </c>
      <c r="Q11" s="187">
        <v>2.6846250612202957E-2</v>
      </c>
      <c r="R11" s="187"/>
      <c r="S11" s="187">
        <v>3.1580967991817338E-2</v>
      </c>
      <c r="T11" s="187">
        <v>2.712758776455073E-2</v>
      </c>
      <c r="U11" s="187"/>
      <c r="V11" s="1138">
        <f t="shared" si="0"/>
        <v>3.0833468285701604E-2</v>
      </c>
      <c r="W11" s="1138">
        <f t="shared" si="1"/>
        <v>2.3088121989488539E-2</v>
      </c>
      <c r="Y11" s="1132">
        <v>8</v>
      </c>
      <c r="Z11" s="44">
        <v>15</v>
      </c>
      <c r="AA11" s="1135">
        <f t="shared" si="11"/>
        <v>3.0833468285701604E-2</v>
      </c>
      <c r="AB11" s="1135">
        <f t="shared" si="2"/>
        <v>2.3088121989488539E-2</v>
      </c>
      <c r="AC11" s="1132">
        <f t="shared" si="12"/>
        <v>7.5</v>
      </c>
      <c r="AD11" s="1133">
        <f t="shared" si="13"/>
        <v>-67.5</v>
      </c>
      <c r="AE11" s="186">
        <f t="shared" si="3"/>
        <v>-21.273216030587367</v>
      </c>
      <c r="AF11" s="40">
        <f t="shared" si="4"/>
        <v>0.43220628679521172</v>
      </c>
      <c r="AG11" s="13">
        <f t="shared" si="5"/>
        <v>29.80073940971813</v>
      </c>
      <c r="AH11" s="1132">
        <f t="shared" si="14"/>
        <v>1</v>
      </c>
      <c r="AI11" s="1132">
        <f t="shared" si="15"/>
        <v>1</v>
      </c>
      <c r="AJ11" s="187">
        <f t="shared" si="16"/>
        <v>0.43220628679521172</v>
      </c>
      <c r="AK11" s="1136">
        <f t="shared" si="17"/>
        <v>3.4975472509128601E-2</v>
      </c>
      <c r="AM11" s="1068" t="s">
        <v>336</v>
      </c>
      <c r="AN11" s="152">
        <f>AK78</f>
        <v>1.1641526819788581</v>
      </c>
      <c r="AO11" s="40">
        <f>'R4'!R31</f>
        <v>3.8341533333333335</v>
      </c>
      <c r="AP11" s="40">
        <f t="shared" si="18"/>
        <v>4.4635398861181788</v>
      </c>
      <c r="AR11" s="1132">
        <v>8</v>
      </c>
      <c r="AS11" s="44">
        <v>15</v>
      </c>
      <c r="AT11" s="1135">
        <f t="shared" si="19"/>
        <v>3.0833468285701604E-2</v>
      </c>
      <c r="AU11" s="1135">
        <f t="shared" si="6"/>
        <v>2.3088121989488539E-2</v>
      </c>
      <c r="AV11" s="1132">
        <f t="shared" si="20"/>
        <v>7.5</v>
      </c>
      <c r="AW11" s="1133">
        <f t="shared" si="21"/>
        <v>-67.5</v>
      </c>
      <c r="AX11" s="186">
        <f t="shared" si="7"/>
        <v>-21.273216030587367</v>
      </c>
      <c r="AY11" s="40">
        <f t="shared" si="8"/>
        <v>0.43220628679521172</v>
      </c>
      <c r="AZ11" s="13">
        <f t="shared" si="9"/>
        <v>29.80073940971813</v>
      </c>
      <c r="BA11" s="1132">
        <f t="shared" si="22"/>
        <v>1</v>
      </c>
      <c r="BB11" s="1132">
        <f t="shared" si="23"/>
        <v>1</v>
      </c>
      <c r="BC11" s="187">
        <f t="shared" si="24"/>
        <v>0.43220628679521172</v>
      </c>
      <c r="BD11" s="1136">
        <f t="shared" si="10"/>
        <v>3.4975472509128601E-2</v>
      </c>
      <c r="BF11" s="1068" t="s">
        <v>336</v>
      </c>
      <c r="BG11" s="152">
        <f>BD78</f>
        <v>1.1641526819788581</v>
      </c>
      <c r="BH11" s="40">
        <f>'R4'!R31</f>
        <v>3.8341533333333335</v>
      </c>
      <c r="BI11" s="40">
        <f t="shared" si="25"/>
        <v>4.4635398861181788</v>
      </c>
    </row>
    <row r="12" spans="1:61" x14ac:dyDescent="0.2">
      <c r="A12" s="1135">
        <v>4.8000000000000001E-2</v>
      </c>
      <c r="B12" s="1135">
        <v>3.0531317833376113E-2</v>
      </c>
      <c r="C12" s="1135"/>
      <c r="D12" s="1135">
        <v>4.6123875244752172E-2</v>
      </c>
      <c r="E12" s="187">
        <v>3.3745568807997617E-2</v>
      </c>
      <c r="F12" s="187"/>
      <c r="G12" s="187">
        <v>4.9837297441355656E-2</v>
      </c>
      <c r="H12" s="187">
        <v>2.8911861188440947E-2</v>
      </c>
      <c r="I12" s="187"/>
      <c r="J12" s="187">
        <v>4.6878987858679375E-2</v>
      </c>
      <c r="K12" s="187">
        <v>3.2203667918474524E-2</v>
      </c>
      <c r="L12" s="187"/>
      <c r="M12" s="187">
        <v>4.6755068861752305E-2</v>
      </c>
      <c r="N12" s="187">
        <v>3.2298677220645305E-2</v>
      </c>
      <c r="O12" s="187"/>
      <c r="P12" s="187">
        <v>4.3069706728792623E-2</v>
      </c>
      <c r="Q12" s="187">
        <v>3.4876297324381939E-2</v>
      </c>
      <c r="R12" s="187"/>
      <c r="S12" s="187">
        <v>3.8772624986923895E-2</v>
      </c>
      <c r="T12" s="187">
        <v>3.6705831261615793E-2</v>
      </c>
      <c r="U12" s="187"/>
      <c r="V12" s="1138">
        <f t="shared" si="0"/>
        <v>4.9837297441355656E-2</v>
      </c>
      <c r="W12" s="1138">
        <f t="shared" si="1"/>
        <v>2.8911861188440947E-2</v>
      </c>
      <c r="Y12" s="1132">
        <v>9</v>
      </c>
      <c r="Z12" s="44">
        <v>15</v>
      </c>
      <c r="AA12" s="1135">
        <f t="shared" si="11"/>
        <v>4.9837297441355656E-2</v>
      </c>
      <c r="AB12" s="1135">
        <f t="shared" si="2"/>
        <v>2.8911861188440947E-2</v>
      </c>
      <c r="AC12" s="1132">
        <f t="shared" si="12"/>
        <v>8.5</v>
      </c>
      <c r="AD12" s="1133">
        <f t="shared" si="13"/>
        <v>-52.5</v>
      </c>
      <c r="AE12" s="186">
        <f t="shared" si="3"/>
        <v>-21.273216030587367</v>
      </c>
      <c r="AF12" s="40">
        <f t="shared" si="4"/>
        <v>0.64781802697206015</v>
      </c>
      <c r="AG12" s="13">
        <f t="shared" si="5"/>
        <v>42.360739352212711</v>
      </c>
      <c r="AH12" s="1132">
        <f t="shared" si="14"/>
        <v>1</v>
      </c>
      <c r="AI12" s="1132">
        <f t="shared" si="15"/>
        <v>1</v>
      </c>
      <c r="AJ12" s="187">
        <f t="shared" si="16"/>
        <v>0.64781802697206015</v>
      </c>
      <c r="AK12" s="1136">
        <f t="shared" si="17"/>
        <v>5.9657913436800623E-2</v>
      </c>
      <c r="AM12" s="1068" t="s">
        <v>1270</v>
      </c>
      <c r="AN12" s="152">
        <f>AK96</f>
        <v>1.2893966567058694</v>
      </c>
      <c r="AO12" s="40">
        <f>'R4'!R32</f>
        <v>2.5307787096774192</v>
      </c>
      <c r="AP12" s="40">
        <f t="shared" si="18"/>
        <v>3.2631776071204586</v>
      </c>
      <c r="AR12" s="1132">
        <v>9</v>
      </c>
      <c r="AS12" s="44">
        <v>15</v>
      </c>
      <c r="AT12" s="1135">
        <f t="shared" si="19"/>
        <v>4.9837297441355656E-2</v>
      </c>
      <c r="AU12" s="1135">
        <f t="shared" si="6"/>
        <v>2.8911861188440947E-2</v>
      </c>
      <c r="AV12" s="1132">
        <f t="shared" si="20"/>
        <v>8.5</v>
      </c>
      <c r="AW12" s="1133">
        <f t="shared" si="21"/>
        <v>-52.5</v>
      </c>
      <c r="AX12" s="186">
        <f t="shared" si="7"/>
        <v>-21.273216030587367</v>
      </c>
      <c r="AY12" s="40">
        <f t="shared" si="8"/>
        <v>0.64781802697206015</v>
      </c>
      <c r="AZ12" s="13">
        <f t="shared" si="9"/>
        <v>42.360739352212711</v>
      </c>
      <c r="BA12" s="1132">
        <f t="shared" si="22"/>
        <v>1</v>
      </c>
      <c r="BB12" s="1132">
        <f t="shared" si="23"/>
        <v>1</v>
      </c>
      <c r="BC12" s="187">
        <f t="shared" si="24"/>
        <v>0.64781802697206015</v>
      </c>
      <c r="BD12" s="1136">
        <f t="shared" si="10"/>
        <v>5.9657913436800623E-2</v>
      </c>
      <c r="BF12" s="1068" t="s">
        <v>1270</v>
      </c>
      <c r="BG12" s="152">
        <f>BD96</f>
        <v>1.2952447193245833</v>
      </c>
      <c r="BH12" s="40">
        <f>'R4'!R32</f>
        <v>2.5307787096774192</v>
      </c>
      <c r="BI12" s="40">
        <f t="shared" si="25"/>
        <v>3.2779777594887598</v>
      </c>
    </row>
    <row r="13" spans="1:61" x14ac:dyDescent="0.2">
      <c r="A13" s="1135">
        <v>6.5000000000000002E-2</v>
      </c>
      <c r="B13" s="1135">
        <v>3.6423584337821689E-2</v>
      </c>
      <c r="C13" s="1135"/>
      <c r="D13" s="1135">
        <v>6.1409640949872314E-2</v>
      </c>
      <c r="E13" s="187">
        <v>3.8800300261463472E-2</v>
      </c>
      <c r="F13" s="187"/>
      <c r="G13" s="187">
        <v>7.0316037587086655E-2</v>
      </c>
      <c r="H13" s="187">
        <v>3.2509183457813805E-2</v>
      </c>
      <c r="I13" s="187"/>
      <c r="J13" s="187">
        <v>5.3790516644182704E-2</v>
      </c>
      <c r="K13" s="187">
        <v>4.1084059503409071E-2</v>
      </c>
      <c r="L13" s="187"/>
      <c r="M13" s="187">
        <v>6.3688011978137837E-2</v>
      </c>
      <c r="N13" s="187">
        <v>3.5371268293620611E-2</v>
      </c>
      <c r="O13" s="187"/>
      <c r="P13" s="187">
        <v>5.834615772271598E-2</v>
      </c>
      <c r="Q13" s="187">
        <v>3.9306415129833738E-2</v>
      </c>
      <c r="R13" s="187"/>
      <c r="S13" s="187">
        <v>4.6918753005946008E-2</v>
      </c>
      <c r="T13" s="187">
        <v>4.1742363022774238E-2</v>
      </c>
      <c r="U13" s="187"/>
      <c r="V13" s="1138">
        <f t="shared" si="0"/>
        <v>7.0316037587086655E-2</v>
      </c>
      <c r="W13" s="1138">
        <f t="shared" si="1"/>
        <v>3.2509183457813805E-2</v>
      </c>
      <c r="Y13" s="1132">
        <v>10</v>
      </c>
      <c r="Z13" s="44">
        <v>15</v>
      </c>
      <c r="AA13" s="1135">
        <f t="shared" si="11"/>
        <v>7.0316037587086655E-2</v>
      </c>
      <c r="AB13" s="1135">
        <f t="shared" si="2"/>
        <v>3.2509183457813805E-2</v>
      </c>
      <c r="AC13" s="1132">
        <f t="shared" si="12"/>
        <v>9.5</v>
      </c>
      <c r="AD13" s="1133">
        <f t="shared" si="13"/>
        <v>-37.5</v>
      </c>
      <c r="AE13" s="186">
        <f t="shared" si="3"/>
        <v>-21.273216030587367</v>
      </c>
      <c r="AF13" s="40">
        <f t="shared" si="4"/>
        <v>0.76470142539553954</v>
      </c>
      <c r="AG13" s="13">
        <f t="shared" si="5"/>
        <v>54.900482011266412</v>
      </c>
      <c r="AH13" s="1132">
        <f t="shared" si="14"/>
        <v>1</v>
      </c>
      <c r="AI13" s="1132">
        <f t="shared" si="15"/>
        <v>1</v>
      </c>
      <c r="AJ13" s="187">
        <f t="shared" si="16"/>
        <v>0.76470142539553954</v>
      </c>
      <c r="AK13" s="1136">
        <f t="shared" si="17"/>
        <v>8.4882956143748883E-2</v>
      </c>
      <c r="AM13" s="1068" t="s">
        <v>563</v>
      </c>
      <c r="AN13" s="152">
        <f>AK114</f>
        <v>1.2656178861304268</v>
      </c>
      <c r="AO13" s="40">
        <f>'R4'!R33</f>
        <v>1.9863036666666667</v>
      </c>
      <c r="AP13" s="40">
        <f t="shared" si="18"/>
        <v>2.5139014478197828</v>
      </c>
      <c r="AR13" s="1132">
        <v>10</v>
      </c>
      <c r="AS13" s="44">
        <v>15</v>
      </c>
      <c r="AT13" s="1135">
        <f t="shared" si="19"/>
        <v>7.0316037587086655E-2</v>
      </c>
      <c r="AU13" s="1135">
        <f t="shared" si="6"/>
        <v>3.2509183457813805E-2</v>
      </c>
      <c r="AV13" s="1132">
        <f t="shared" si="20"/>
        <v>9.5</v>
      </c>
      <c r="AW13" s="1133">
        <f t="shared" si="21"/>
        <v>-37.5</v>
      </c>
      <c r="AX13" s="186">
        <f t="shared" si="7"/>
        <v>-21.273216030587367</v>
      </c>
      <c r="AY13" s="40">
        <f t="shared" si="8"/>
        <v>0.76470142539553954</v>
      </c>
      <c r="AZ13" s="13">
        <f t="shared" si="9"/>
        <v>54.900482011266412</v>
      </c>
      <c r="BA13" s="1132">
        <f t="shared" si="22"/>
        <v>1</v>
      </c>
      <c r="BB13" s="1132">
        <f t="shared" si="23"/>
        <v>1</v>
      </c>
      <c r="BC13" s="187">
        <f t="shared" si="24"/>
        <v>0.76470142539553954</v>
      </c>
      <c r="BD13" s="1136">
        <f t="shared" si="10"/>
        <v>8.4882956143748883E-2</v>
      </c>
      <c r="BF13" s="1068" t="s">
        <v>563</v>
      </c>
      <c r="BG13" s="152">
        <f>BD114</f>
        <v>1.2656178861304268</v>
      </c>
      <c r="BH13" s="40">
        <f>'R4'!R33</f>
        <v>1.9863036666666667</v>
      </c>
      <c r="BI13" s="40">
        <f t="shared" si="25"/>
        <v>2.5139014478197828</v>
      </c>
    </row>
    <row r="14" spans="1:61" x14ac:dyDescent="0.2">
      <c r="A14" s="1135">
        <v>8.1000000000000003E-2</v>
      </c>
      <c r="B14" s="1135">
        <v>3.8642225093490273E-2</v>
      </c>
      <c r="C14" s="1135"/>
      <c r="D14" s="1135">
        <v>7.3546269412178317E-2</v>
      </c>
      <c r="E14" s="187">
        <v>4.4995312339827377E-2</v>
      </c>
      <c r="F14" s="187"/>
      <c r="G14" s="187">
        <v>7.5117525876563229E-2</v>
      </c>
      <c r="H14" s="187">
        <v>3.8867839860958764E-2</v>
      </c>
      <c r="I14" s="187"/>
      <c r="J14" s="187">
        <v>6.0453658803368941E-2</v>
      </c>
      <c r="K14" s="187">
        <v>4.5167626791118257E-2</v>
      </c>
      <c r="L14" s="187"/>
      <c r="M14" s="187">
        <v>7.3994356350433055E-2</v>
      </c>
      <c r="N14" s="187">
        <v>4.009234650568036E-2</v>
      </c>
      <c r="O14" s="187"/>
      <c r="P14" s="187">
        <v>6.7914091975016674E-2</v>
      </c>
      <c r="Q14" s="187">
        <v>4.5004335314258986E-2</v>
      </c>
      <c r="R14" s="187"/>
      <c r="S14" s="187">
        <v>6.752125951188645E-2</v>
      </c>
      <c r="T14" s="187">
        <v>4.1369407764072025E-2</v>
      </c>
      <c r="U14" s="187"/>
      <c r="V14" s="1138">
        <f t="shared" si="0"/>
        <v>7.5117525876563229E-2</v>
      </c>
      <c r="W14" s="1138">
        <f t="shared" si="1"/>
        <v>3.8867839860958764E-2</v>
      </c>
      <c r="Y14" s="1132">
        <v>11</v>
      </c>
      <c r="Z14" s="44">
        <v>15</v>
      </c>
      <c r="AA14" s="1135">
        <f t="shared" si="11"/>
        <v>7.5117525876563229E-2</v>
      </c>
      <c r="AB14" s="1135">
        <f t="shared" si="2"/>
        <v>3.8867839860958764E-2</v>
      </c>
      <c r="AC14" s="1132">
        <f t="shared" si="12"/>
        <v>10.5</v>
      </c>
      <c r="AD14" s="1133">
        <f t="shared" si="13"/>
        <v>-22.5</v>
      </c>
      <c r="AE14" s="186">
        <f t="shared" si="3"/>
        <v>-21.273216030587367</v>
      </c>
      <c r="AF14" s="40">
        <f t="shared" si="4"/>
        <v>0.83603840087120207</v>
      </c>
      <c r="AG14" s="13">
        <f t="shared" si="5"/>
        <v>66.958743800153115</v>
      </c>
      <c r="AH14" s="1132">
        <f t="shared" si="14"/>
        <v>1</v>
      </c>
      <c r="AI14" s="1132">
        <f t="shared" si="15"/>
        <v>1</v>
      </c>
      <c r="AJ14" s="187">
        <f t="shared" si="16"/>
        <v>0.83603840087120207</v>
      </c>
      <c r="AK14" s="1136">
        <f t="shared" si="17"/>
        <v>9.9789319070781271E-2</v>
      </c>
      <c r="AM14" s="1068" t="s">
        <v>563</v>
      </c>
      <c r="AN14" s="152">
        <f>AK132</f>
        <v>1.260332708090327</v>
      </c>
      <c r="AO14" s="40">
        <f>'R4'!R34</f>
        <v>2.3357387096774191</v>
      </c>
      <c r="AP14" s="40">
        <f t="shared" si="18"/>
        <v>2.9438078933591481</v>
      </c>
      <c r="AR14" s="1132">
        <v>11</v>
      </c>
      <c r="AS14" s="44">
        <v>15</v>
      </c>
      <c r="AT14" s="1135">
        <f t="shared" si="19"/>
        <v>7.5117525876563229E-2</v>
      </c>
      <c r="AU14" s="1135">
        <f t="shared" si="6"/>
        <v>3.8867839860958764E-2</v>
      </c>
      <c r="AV14" s="1132">
        <f t="shared" si="20"/>
        <v>10.5</v>
      </c>
      <c r="AW14" s="1133">
        <f t="shared" si="21"/>
        <v>-22.5</v>
      </c>
      <c r="AX14" s="186">
        <f t="shared" si="7"/>
        <v>-21.273216030587367</v>
      </c>
      <c r="AY14" s="40">
        <f t="shared" si="8"/>
        <v>0.83603840087120207</v>
      </c>
      <c r="AZ14" s="13">
        <f t="shared" si="9"/>
        <v>66.958743800153115</v>
      </c>
      <c r="BA14" s="1132">
        <f t="shared" si="22"/>
        <v>1</v>
      </c>
      <c r="BB14" s="1132">
        <f t="shared" si="23"/>
        <v>1</v>
      </c>
      <c r="BC14" s="187">
        <f t="shared" si="24"/>
        <v>0.83603840087120207</v>
      </c>
      <c r="BD14" s="1136">
        <f t="shared" si="10"/>
        <v>9.9789319070781271E-2</v>
      </c>
      <c r="BF14" s="1068" t="s">
        <v>563</v>
      </c>
      <c r="BG14" s="152">
        <f>BD132</f>
        <v>1.260332708090327</v>
      </c>
      <c r="BH14" s="40">
        <f>'R4'!R34</f>
        <v>2.3357387096774191</v>
      </c>
      <c r="BI14" s="40">
        <f t="shared" si="25"/>
        <v>2.9438078933591481</v>
      </c>
    </row>
    <row r="15" spans="1:61" x14ac:dyDescent="0.2">
      <c r="A15" s="1135">
        <v>8.5000000000000006E-2</v>
      </c>
      <c r="B15" s="1135">
        <v>4.2000000000000003E-2</v>
      </c>
      <c r="C15" s="1135"/>
      <c r="D15" s="1135">
        <v>7.4953128166468097E-2</v>
      </c>
      <c r="E15" s="187">
        <v>4.7855900728299941E-2</v>
      </c>
      <c r="F15" s="187"/>
      <c r="G15" s="187">
        <v>8.3551966553267812E-2</v>
      </c>
      <c r="H15" s="187">
        <v>3.8636244094900463E-2</v>
      </c>
      <c r="I15" s="187"/>
      <c r="J15" s="187">
        <v>6.6346574543333203E-2</v>
      </c>
      <c r="K15" s="187">
        <v>4.7555784445983892E-2</v>
      </c>
      <c r="L15" s="187"/>
      <c r="M15" s="187">
        <v>7.9227417293847718E-2</v>
      </c>
      <c r="N15" s="187">
        <v>4.1583140184768073E-2</v>
      </c>
      <c r="O15" s="187"/>
      <c r="P15" s="187">
        <v>7.1943811297795646E-2</v>
      </c>
      <c r="Q15" s="187">
        <v>4.6807263831700668E-2</v>
      </c>
      <c r="R15" s="187"/>
      <c r="S15" s="187">
        <v>6.8202557166489403E-2</v>
      </c>
      <c r="T15" s="187">
        <v>4.4407030200080855E-2</v>
      </c>
      <c r="U15" s="187"/>
      <c r="V15" s="1138">
        <f t="shared" si="0"/>
        <v>8.3551966553267812E-2</v>
      </c>
      <c r="W15" s="1138">
        <f t="shared" si="1"/>
        <v>3.8636244094900463E-2</v>
      </c>
      <c r="Y15" s="1132">
        <v>12</v>
      </c>
      <c r="Z15" s="44">
        <v>15</v>
      </c>
      <c r="AA15" s="1135">
        <f t="shared" si="11"/>
        <v>8.3551966553267812E-2</v>
      </c>
      <c r="AB15" s="1135">
        <f t="shared" si="2"/>
        <v>3.8636244094900463E-2</v>
      </c>
      <c r="AC15" s="1132">
        <f t="shared" si="12"/>
        <v>11.5</v>
      </c>
      <c r="AD15" s="1133">
        <f t="shared" si="13"/>
        <v>-7.5</v>
      </c>
      <c r="AE15" s="186">
        <f t="shared" si="3"/>
        <v>-21.273216030587367</v>
      </c>
      <c r="AF15" s="40">
        <f t="shared" si="4"/>
        <v>0.88155654038842612</v>
      </c>
      <c r="AG15" s="13">
        <f t="shared" si="5"/>
        <v>76.66800341792802</v>
      </c>
      <c r="AH15" s="1132">
        <f t="shared" si="14"/>
        <v>1</v>
      </c>
      <c r="AI15" s="1132">
        <f t="shared" si="15"/>
        <v>1</v>
      </c>
      <c r="AJ15" s="187">
        <f t="shared" si="16"/>
        <v>0.88155654038842612</v>
      </c>
      <c r="AK15" s="1136">
        <f t="shared" si="17"/>
        <v>0.11063134040442719</v>
      </c>
      <c r="AM15" s="1068" t="s">
        <v>336</v>
      </c>
      <c r="AN15" s="152">
        <f>AK150</f>
        <v>1.1947872741251044</v>
      </c>
      <c r="AO15" s="40">
        <f>'R4'!R35</f>
        <v>3.1269874193548386</v>
      </c>
      <c r="AP15" s="40">
        <f t="shared" si="18"/>
        <v>3.7360847749944623</v>
      </c>
      <c r="AR15" s="1132">
        <v>12</v>
      </c>
      <c r="AS15" s="44">
        <v>15</v>
      </c>
      <c r="AT15" s="1135">
        <f t="shared" si="19"/>
        <v>8.3551966553267812E-2</v>
      </c>
      <c r="AU15" s="1135">
        <f t="shared" si="6"/>
        <v>3.8636244094900463E-2</v>
      </c>
      <c r="AV15" s="1132">
        <f t="shared" si="20"/>
        <v>11.5</v>
      </c>
      <c r="AW15" s="1133">
        <f t="shared" si="21"/>
        <v>-7.5</v>
      </c>
      <c r="AX15" s="186">
        <f t="shared" si="7"/>
        <v>-21.273216030587367</v>
      </c>
      <c r="AY15" s="40">
        <f t="shared" si="8"/>
        <v>0.88155654038842612</v>
      </c>
      <c r="AZ15" s="13">
        <f t="shared" si="9"/>
        <v>76.66800341792802</v>
      </c>
      <c r="BA15" s="1132">
        <f t="shared" si="22"/>
        <v>1</v>
      </c>
      <c r="BB15" s="1132">
        <f t="shared" si="23"/>
        <v>1</v>
      </c>
      <c r="BC15" s="187">
        <f t="shared" si="24"/>
        <v>0.88155654038842612</v>
      </c>
      <c r="BD15" s="1136">
        <f t="shared" si="10"/>
        <v>0.11063134040442719</v>
      </c>
      <c r="BF15" s="1068" t="s">
        <v>336</v>
      </c>
      <c r="BG15" s="152">
        <f>BD150</f>
        <v>1.1947872741251044</v>
      </c>
      <c r="BH15" s="40">
        <f>'R4'!R35</f>
        <v>3.1269874193548386</v>
      </c>
      <c r="BI15" s="40">
        <f t="shared" si="25"/>
        <v>3.7360847749944623</v>
      </c>
    </row>
    <row r="16" spans="1:61" x14ac:dyDescent="0.2">
      <c r="A16" s="1135">
        <v>8.5000000000000006E-2</v>
      </c>
      <c r="B16" s="1135">
        <v>4.2000000000000003E-2</v>
      </c>
      <c r="C16" s="1135"/>
      <c r="D16" s="1135">
        <v>7.4953128166468097E-2</v>
      </c>
      <c r="E16" s="187">
        <v>4.7855900728299941E-2</v>
      </c>
      <c r="F16" s="187"/>
      <c r="G16" s="187">
        <v>8.3551966553267812E-2</v>
      </c>
      <c r="H16" s="187">
        <v>3.8636244094900463E-2</v>
      </c>
      <c r="I16" s="187"/>
      <c r="J16" s="187">
        <v>6.6346574543333203E-2</v>
      </c>
      <c r="K16" s="187">
        <v>4.7555784445983892E-2</v>
      </c>
      <c r="L16" s="187"/>
      <c r="M16" s="187">
        <v>7.9227417293847718E-2</v>
      </c>
      <c r="N16" s="187">
        <v>4.1583140184768073E-2</v>
      </c>
      <c r="O16" s="187"/>
      <c r="P16" s="187">
        <v>7.1943811297795646E-2</v>
      </c>
      <c r="Q16" s="187">
        <v>4.6807263831700668E-2</v>
      </c>
      <c r="R16" s="187"/>
      <c r="S16" s="187">
        <v>6.8202557166489403E-2</v>
      </c>
      <c r="T16" s="187">
        <v>4.4407030200080855E-2</v>
      </c>
      <c r="U16" s="187"/>
      <c r="V16" s="1138">
        <f t="shared" si="0"/>
        <v>8.3551966553267812E-2</v>
      </c>
      <c r="W16" s="1138">
        <f t="shared" si="1"/>
        <v>3.8636244094900463E-2</v>
      </c>
      <c r="Y16" s="1132">
        <v>13</v>
      </c>
      <c r="Z16" s="44">
        <v>15</v>
      </c>
      <c r="AA16" s="1135">
        <f t="shared" si="11"/>
        <v>8.3551966553267812E-2</v>
      </c>
      <c r="AB16" s="1135">
        <f t="shared" si="2"/>
        <v>3.8636244094900463E-2</v>
      </c>
      <c r="AC16" s="1132">
        <f t="shared" si="12"/>
        <v>12.5</v>
      </c>
      <c r="AD16" s="1133">
        <f t="shared" si="13"/>
        <v>7.5</v>
      </c>
      <c r="AE16" s="186">
        <f t="shared" si="3"/>
        <v>-21.273216030587367</v>
      </c>
      <c r="AF16" s="40">
        <f t="shared" si="4"/>
        <v>0.90950998203865008</v>
      </c>
      <c r="AG16" s="13">
        <f t="shared" si="5"/>
        <v>76.66800341792802</v>
      </c>
      <c r="AH16" s="1132">
        <f t="shared" si="14"/>
        <v>1</v>
      </c>
      <c r="AI16" s="1132">
        <f t="shared" si="15"/>
        <v>1</v>
      </c>
      <c r="AJ16" s="187">
        <f t="shared" si="16"/>
        <v>0.90950998203865008</v>
      </c>
      <c r="AK16" s="1136">
        <f t="shared" si="17"/>
        <v>0.11296690542623543</v>
      </c>
      <c r="AM16" s="1068" t="s">
        <v>303</v>
      </c>
      <c r="AN16" s="152">
        <f>AK168</f>
        <v>1.0792925130384567</v>
      </c>
      <c r="AO16" s="40">
        <f>'R4'!R36</f>
        <v>4.3659466666666669</v>
      </c>
      <c r="AP16" s="40">
        <f t="shared" si="18"/>
        <v>4.7121335496585406</v>
      </c>
      <c r="AR16" s="1132">
        <v>13</v>
      </c>
      <c r="AS16" s="44">
        <v>15</v>
      </c>
      <c r="AT16" s="1135">
        <f t="shared" si="19"/>
        <v>8.3551966553267812E-2</v>
      </c>
      <c r="AU16" s="1135">
        <f t="shared" si="6"/>
        <v>3.8636244094900463E-2</v>
      </c>
      <c r="AV16" s="1132">
        <f t="shared" si="20"/>
        <v>12.5</v>
      </c>
      <c r="AW16" s="1133">
        <f t="shared" si="21"/>
        <v>7.5</v>
      </c>
      <c r="AX16" s="186">
        <f t="shared" si="7"/>
        <v>-21.273216030587367</v>
      </c>
      <c r="AY16" s="40">
        <f t="shared" si="8"/>
        <v>0.90950998203865008</v>
      </c>
      <c r="AZ16" s="13">
        <f t="shared" si="9"/>
        <v>76.66800341792802</v>
      </c>
      <c r="BA16" s="1132">
        <f t="shared" si="22"/>
        <v>1</v>
      </c>
      <c r="BB16" s="1132">
        <f t="shared" si="23"/>
        <v>1</v>
      </c>
      <c r="BC16" s="187">
        <f t="shared" si="24"/>
        <v>0.90950998203865008</v>
      </c>
      <c r="BD16" s="1136">
        <f t="shared" si="10"/>
        <v>0.11296690542623543</v>
      </c>
      <c r="BF16" s="1068" t="s">
        <v>303</v>
      </c>
      <c r="BG16" s="152">
        <f>BD168</f>
        <v>1.0792925130384567</v>
      </c>
      <c r="BH16" s="40">
        <f>'R4'!R36</f>
        <v>4.3659466666666669</v>
      </c>
      <c r="BI16" s="40">
        <f t="shared" si="25"/>
        <v>4.7121335496585406</v>
      </c>
    </row>
    <row r="17" spans="1:61" x14ac:dyDescent="0.2">
      <c r="A17" s="1135">
        <v>8.1000000000000003E-2</v>
      </c>
      <c r="B17" s="1135">
        <v>3.8642225093490273E-2</v>
      </c>
      <c r="C17" s="1135"/>
      <c r="D17" s="1135">
        <v>7.3546269412178317E-2</v>
      </c>
      <c r="E17" s="187">
        <v>4.4995312339827377E-2</v>
      </c>
      <c r="F17" s="187"/>
      <c r="G17" s="187">
        <v>7.5117525876563229E-2</v>
      </c>
      <c r="H17" s="187">
        <v>3.8867839860958764E-2</v>
      </c>
      <c r="I17" s="187"/>
      <c r="J17" s="187">
        <v>6.0453658803368941E-2</v>
      </c>
      <c r="K17" s="187">
        <v>4.5167626791118257E-2</v>
      </c>
      <c r="L17" s="187"/>
      <c r="M17" s="187">
        <v>7.3994356350433055E-2</v>
      </c>
      <c r="N17" s="187">
        <v>4.009234650568036E-2</v>
      </c>
      <c r="O17" s="187"/>
      <c r="P17" s="187">
        <v>6.7914091975016674E-2</v>
      </c>
      <c r="Q17" s="187">
        <v>4.5004335314258986E-2</v>
      </c>
      <c r="R17" s="187"/>
      <c r="S17" s="187">
        <v>6.752125951188645E-2</v>
      </c>
      <c r="T17" s="187">
        <v>4.1369407764072025E-2</v>
      </c>
      <c r="U17" s="187"/>
      <c r="V17" s="1138">
        <f t="shared" si="0"/>
        <v>7.5117525876563229E-2</v>
      </c>
      <c r="W17" s="1138">
        <f t="shared" si="1"/>
        <v>3.8867839860958764E-2</v>
      </c>
      <c r="Y17" s="1132">
        <v>14</v>
      </c>
      <c r="Z17" s="44">
        <v>15</v>
      </c>
      <c r="AA17" s="1135">
        <f t="shared" si="11"/>
        <v>7.5117525876563229E-2</v>
      </c>
      <c r="AB17" s="1135">
        <f t="shared" si="2"/>
        <v>3.8867839860958764E-2</v>
      </c>
      <c r="AC17" s="1132">
        <f t="shared" si="12"/>
        <v>13.5</v>
      </c>
      <c r="AD17" s="1133">
        <f t="shared" si="13"/>
        <v>22.5</v>
      </c>
      <c r="AE17" s="186">
        <f t="shared" si="3"/>
        <v>-21.273216030587367</v>
      </c>
      <c r="AF17" s="40">
        <f t="shared" si="4"/>
        <v>0.92269921610132488</v>
      </c>
      <c r="AG17" s="13">
        <f t="shared" si="5"/>
        <v>66.958743800153115</v>
      </c>
      <c r="AH17" s="1132">
        <f t="shared" si="14"/>
        <v>1</v>
      </c>
      <c r="AI17" s="1132">
        <f t="shared" si="15"/>
        <v>1</v>
      </c>
      <c r="AJ17" s="187">
        <f t="shared" si="16"/>
        <v>0.92269921610132488</v>
      </c>
      <c r="AK17" s="1136">
        <f t="shared" si="17"/>
        <v>0.10629906510131409</v>
      </c>
      <c r="AM17" s="1068" t="s">
        <v>1271</v>
      </c>
      <c r="AN17" s="152">
        <f>AK186</f>
        <v>0.96980061032649478</v>
      </c>
      <c r="AO17" s="40">
        <f>'R4'!R37</f>
        <v>6.0185709677419359</v>
      </c>
      <c r="AP17" s="40">
        <f t="shared" si="18"/>
        <v>5.8368137978094516</v>
      </c>
      <c r="AR17" s="1132">
        <v>14</v>
      </c>
      <c r="AS17" s="44">
        <v>15</v>
      </c>
      <c r="AT17" s="1135">
        <f t="shared" si="19"/>
        <v>7.5117525876563229E-2</v>
      </c>
      <c r="AU17" s="1135">
        <f t="shared" si="6"/>
        <v>3.8867839860958764E-2</v>
      </c>
      <c r="AV17" s="1132">
        <f t="shared" si="20"/>
        <v>13.5</v>
      </c>
      <c r="AW17" s="1133">
        <f t="shared" si="21"/>
        <v>22.5</v>
      </c>
      <c r="AX17" s="186">
        <f t="shared" si="7"/>
        <v>-21.273216030587367</v>
      </c>
      <c r="AY17" s="40">
        <f t="shared" si="8"/>
        <v>0.92269921610132488</v>
      </c>
      <c r="AZ17" s="13">
        <f t="shared" si="9"/>
        <v>66.958743800153115</v>
      </c>
      <c r="BA17" s="1132">
        <f t="shared" si="22"/>
        <v>1</v>
      </c>
      <c r="BB17" s="1132">
        <f t="shared" si="23"/>
        <v>1</v>
      </c>
      <c r="BC17" s="187">
        <f t="shared" si="24"/>
        <v>0.92269921610132488</v>
      </c>
      <c r="BD17" s="1136">
        <f t="shared" si="10"/>
        <v>0.10629906510131409</v>
      </c>
      <c r="BF17" s="1068" t="s">
        <v>1271</v>
      </c>
      <c r="BG17" s="152">
        <f>BD186</f>
        <v>0.96980061032649478</v>
      </c>
      <c r="BH17" s="40">
        <f>'R4'!R37</f>
        <v>6.0185709677419359</v>
      </c>
      <c r="BI17" s="40">
        <f t="shared" si="25"/>
        <v>5.8368137978094516</v>
      </c>
    </row>
    <row r="18" spans="1:61" x14ac:dyDescent="0.2">
      <c r="A18" s="1135">
        <v>6.5000000000000002E-2</v>
      </c>
      <c r="B18" s="1135">
        <v>3.6423584337821689E-2</v>
      </c>
      <c r="C18" s="1135"/>
      <c r="D18" s="1135">
        <v>6.1409640949872314E-2</v>
      </c>
      <c r="E18" s="187">
        <v>3.8800300261463472E-2</v>
      </c>
      <c r="F18" s="187"/>
      <c r="G18" s="187">
        <v>7.0316037587086655E-2</v>
      </c>
      <c r="H18" s="187">
        <v>3.2509183457813805E-2</v>
      </c>
      <c r="I18" s="187"/>
      <c r="J18" s="187">
        <v>5.3790516644182704E-2</v>
      </c>
      <c r="K18" s="187">
        <v>4.1084059503409071E-2</v>
      </c>
      <c r="L18" s="187"/>
      <c r="M18" s="187">
        <v>6.3688011978137837E-2</v>
      </c>
      <c r="N18" s="187">
        <v>3.5371268293620611E-2</v>
      </c>
      <c r="O18" s="187"/>
      <c r="P18" s="187">
        <v>5.834615772271598E-2</v>
      </c>
      <c r="Q18" s="187">
        <v>3.9306415129833738E-2</v>
      </c>
      <c r="R18" s="187"/>
      <c r="S18" s="187">
        <v>4.6918753005946008E-2</v>
      </c>
      <c r="T18" s="187">
        <v>4.1742363022774238E-2</v>
      </c>
      <c r="U18" s="187"/>
      <c r="V18" s="1138">
        <f t="shared" si="0"/>
        <v>7.0316037587086655E-2</v>
      </c>
      <c r="W18" s="1138">
        <f t="shared" si="1"/>
        <v>3.2509183457813805E-2</v>
      </c>
      <c r="Y18" s="1132">
        <v>15</v>
      </c>
      <c r="Z18" s="44">
        <v>15</v>
      </c>
      <c r="AA18" s="1135">
        <f t="shared" si="11"/>
        <v>7.0316037587086655E-2</v>
      </c>
      <c r="AB18" s="1135">
        <f t="shared" si="2"/>
        <v>3.2509183457813805E-2</v>
      </c>
      <c r="AC18" s="1132">
        <f t="shared" si="12"/>
        <v>14.5</v>
      </c>
      <c r="AD18" s="1133">
        <f t="shared" si="13"/>
        <v>37.5</v>
      </c>
      <c r="AE18" s="186">
        <f t="shared" si="3"/>
        <v>-21.273216030587367</v>
      </c>
      <c r="AF18" s="40">
        <f t="shared" si="4"/>
        <v>0.91975723482820659</v>
      </c>
      <c r="AG18" s="13">
        <f t="shared" si="5"/>
        <v>54.900482011266412</v>
      </c>
      <c r="AH18" s="1132">
        <f t="shared" si="14"/>
        <v>1</v>
      </c>
      <c r="AI18" s="1132">
        <f t="shared" si="15"/>
        <v>1</v>
      </c>
      <c r="AJ18" s="187">
        <f t="shared" si="16"/>
        <v>0.91975723482820659</v>
      </c>
      <c r="AK18" s="1136">
        <f t="shared" si="17"/>
        <v>9.5785866267912453E-2</v>
      </c>
      <c r="AM18" s="1068" t="s">
        <v>299</v>
      </c>
      <c r="AN18" s="152">
        <f>AK204</f>
        <v>0.88054152255412921</v>
      </c>
      <c r="AO18" s="40">
        <f>'R4'!R38</f>
        <v>7.6109133333333334</v>
      </c>
      <c r="AP18" s="40">
        <f t="shared" si="18"/>
        <v>6.7017252145608559</v>
      </c>
      <c r="AR18" s="1132">
        <v>15</v>
      </c>
      <c r="AS18" s="44">
        <v>15</v>
      </c>
      <c r="AT18" s="1135">
        <f t="shared" si="19"/>
        <v>7.0316037587086655E-2</v>
      </c>
      <c r="AU18" s="1135">
        <f t="shared" si="6"/>
        <v>3.2509183457813805E-2</v>
      </c>
      <c r="AV18" s="1132">
        <f t="shared" si="20"/>
        <v>14.5</v>
      </c>
      <c r="AW18" s="1133">
        <f t="shared" si="21"/>
        <v>37.5</v>
      </c>
      <c r="AX18" s="186">
        <f t="shared" si="7"/>
        <v>-21.273216030587367</v>
      </c>
      <c r="AY18" s="40">
        <f t="shared" si="8"/>
        <v>0.91975723482820659</v>
      </c>
      <c r="AZ18" s="13">
        <f t="shared" si="9"/>
        <v>54.900482011266412</v>
      </c>
      <c r="BA18" s="1132">
        <f t="shared" si="22"/>
        <v>1</v>
      </c>
      <c r="BB18" s="1132">
        <f t="shared" si="23"/>
        <v>1</v>
      </c>
      <c r="BC18" s="187">
        <f t="shared" si="24"/>
        <v>0.91975723482820659</v>
      </c>
      <c r="BD18" s="1136">
        <f t="shared" si="10"/>
        <v>9.5785866267912453E-2</v>
      </c>
      <c r="BF18" s="1068" t="s">
        <v>299</v>
      </c>
      <c r="BG18" s="152">
        <f>BD204</f>
        <v>0.88054152255412921</v>
      </c>
      <c r="BH18" s="40">
        <f>'R4'!R38</f>
        <v>7.6109133333333334</v>
      </c>
      <c r="BI18" s="40">
        <f t="shared" si="25"/>
        <v>6.7017252145608559</v>
      </c>
    </row>
    <row r="19" spans="1:61" x14ac:dyDescent="0.2">
      <c r="A19" s="1135">
        <v>4.8000000000000001E-2</v>
      </c>
      <c r="B19" s="1135">
        <v>3.0531317833376113E-2</v>
      </c>
      <c r="C19" s="1135"/>
      <c r="D19" s="1135">
        <v>4.6123875244752172E-2</v>
      </c>
      <c r="E19" s="187">
        <v>3.3745568807997617E-2</v>
      </c>
      <c r="F19" s="187"/>
      <c r="G19" s="187">
        <v>4.9837297441355656E-2</v>
      </c>
      <c r="H19" s="187">
        <v>2.8911861188440947E-2</v>
      </c>
      <c r="I19" s="187"/>
      <c r="J19" s="187">
        <v>4.6878987858679375E-2</v>
      </c>
      <c r="K19" s="187">
        <v>3.2203667918474524E-2</v>
      </c>
      <c r="L19" s="187"/>
      <c r="M19" s="187">
        <v>4.6755068861752305E-2</v>
      </c>
      <c r="N19" s="187">
        <v>3.2298677220645305E-2</v>
      </c>
      <c r="O19" s="187"/>
      <c r="P19" s="187">
        <v>4.3069706728792623E-2</v>
      </c>
      <c r="Q19" s="187">
        <v>3.4876297324381939E-2</v>
      </c>
      <c r="R19" s="187"/>
      <c r="S19" s="187">
        <v>3.8772624986923895E-2</v>
      </c>
      <c r="T19" s="187">
        <v>3.6705831261615793E-2</v>
      </c>
      <c r="U19" s="187"/>
      <c r="V19" s="1138">
        <f t="shared" si="0"/>
        <v>4.9837297441355656E-2</v>
      </c>
      <c r="W19" s="1138">
        <f t="shared" si="1"/>
        <v>2.8911861188440947E-2</v>
      </c>
      <c r="Y19" s="1132">
        <v>16</v>
      </c>
      <c r="Z19" s="44">
        <v>15</v>
      </c>
      <c r="AA19" s="1135">
        <f t="shared" si="11"/>
        <v>4.9837297441355656E-2</v>
      </c>
      <c r="AB19" s="1135">
        <f t="shared" si="2"/>
        <v>2.8911861188440947E-2</v>
      </c>
      <c r="AC19" s="1132">
        <f t="shared" si="12"/>
        <v>15.5</v>
      </c>
      <c r="AD19" s="1133">
        <f t="shared" si="13"/>
        <v>52.5</v>
      </c>
      <c r="AE19" s="186">
        <f t="shared" si="3"/>
        <v>-21.273216030587367</v>
      </c>
      <c r="AF19" s="40">
        <f t="shared" si="4"/>
        <v>0.89317966819799433</v>
      </c>
      <c r="AG19" s="13">
        <f t="shared" si="5"/>
        <v>42.360739352212711</v>
      </c>
      <c r="AH19" s="1132">
        <f t="shared" si="14"/>
        <v>1</v>
      </c>
      <c r="AI19" s="1132">
        <f t="shared" si="15"/>
        <v>1</v>
      </c>
      <c r="AJ19" s="187">
        <f t="shared" si="16"/>
        <v>0.89317966819799433</v>
      </c>
      <c r="AK19" s="1136">
        <f t="shared" si="17"/>
        <v>7.1886074531276684E-2</v>
      </c>
      <c r="AM19" s="1068" t="s">
        <v>339</v>
      </c>
      <c r="AN19" s="152">
        <f>AK222</f>
        <v>0.84098901744701238</v>
      </c>
      <c r="AO19" s="40">
        <f>'R4'!R39</f>
        <v>8.2621064516129028</v>
      </c>
      <c r="AP19" s="40">
        <f t="shared" si="18"/>
        <v>6.9483407867845575</v>
      </c>
      <c r="AR19" s="1132">
        <v>16</v>
      </c>
      <c r="AS19" s="44">
        <v>15</v>
      </c>
      <c r="AT19" s="1135">
        <f t="shared" si="19"/>
        <v>4.9837297441355656E-2</v>
      </c>
      <c r="AU19" s="1135">
        <f t="shared" si="6"/>
        <v>2.8911861188440947E-2</v>
      </c>
      <c r="AV19" s="1132">
        <f t="shared" si="20"/>
        <v>15.5</v>
      </c>
      <c r="AW19" s="1133">
        <f t="shared" si="21"/>
        <v>52.5</v>
      </c>
      <c r="AX19" s="186">
        <f t="shared" si="7"/>
        <v>-21.273216030587367</v>
      </c>
      <c r="AY19" s="40">
        <f t="shared" si="8"/>
        <v>0.89317966819799433</v>
      </c>
      <c r="AZ19" s="13">
        <f t="shared" si="9"/>
        <v>42.360739352212711</v>
      </c>
      <c r="BA19" s="1132">
        <f t="shared" si="22"/>
        <v>1</v>
      </c>
      <c r="BB19" s="1132">
        <f t="shared" si="23"/>
        <v>1</v>
      </c>
      <c r="BC19" s="187">
        <f t="shared" si="24"/>
        <v>0.89317966819799433</v>
      </c>
      <c r="BD19" s="1136">
        <f t="shared" si="10"/>
        <v>7.1886074531276684E-2</v>
      </c>
      <c r="BF19" s="1068" t="s">
        <v>339</v>
      </c>
      <c r="BG19" s="152">
        <f>BD222</f>
        <v>0.84098901744701238</v>
      </c>
      <c r="BH19" s="40">
        <f>'R4'!R39</f>
        <v>8.2621064516129028</v>
      </c>
      <c r="BI19" s="40">
        <f t="shared" si="25"/>
        <v>6.9483407867845575</v>
      </c>
    </row>
    <row r="20" spans="1:61" x14ac:dyDescent="0.2">
      <c r="A20" s="1135">
        <v>0.03</v>
      </c>
      <c r="B20" s="1135">
        <v>2.1994624750244877E-2</v>
      </c>
      <c r="C20" s="1135"/>
      <c r="D20" s="1135">
        <v>2.5632206835259533E-2</v>
      </c>
      <c r="E20" s="187">
        <v>2.4976961126519169E-2</v>
      </c>
      <c r="F20" s="187"/>
      <c r="G20" s="187">
        <v>3.0833468285701604E-2</v>
      </c>
      <c r="H20" s="187">
        <v>2.3088121989488539E-2</v>
      </c>
      <c r="I20" s="187"/>
      <c r="J20" s="187">
        <v>3.2032759689357218E-2</v>
      </c>
      <c r="K20" s="187">
        <v>2.2970065993364222E-2</v>
      </c>
      <c r="L20" s="187"/>
      <c r="M20" s="187">
        <v>2.9792119185714484E-2</v>
      </c>
      <c r="N20" s="187">
        <v>2.3942551902929984E-2</v>
      </c>
      <c r="O20" s="187"/>
      <c r="P20" s="187">
        <v>2.8370841340515349E-2</v>
      </c>
      <c r="Q20" s="187">
        <v>2.6846250612202957E-2</v>
      </c>
      <c r="R20" s="187"/>
      <c r="S20" s="187">
        <v>3.1580967991817338E-2</v>
      </c>
      <c r="T20" s="187">
        <v>2.712758776455073E-2</v>
      </c>
      <c r="U20" s="187"/>
      <c r="V20" s="1138">
        <f t="shared" si="0"/>
        <v>3.0833468285701604E-2</v>
      </c>
      <c r="W20" s="1138">
        <f t="shared" si="1"/>
        <v>2.3088121989488539E-2</v>
      </c>
      <c r="Y20" s="1132">
        <v>17</v>
      </c>
      <c r="Z20" s="44">
        <v>15</v>
      </c>
      <c r="AA20" s="1135">
        <f t="shared" si="11"/>
        <v>3.0833468285701604E-2</v>
      </c>
      <c r="AB20" s="1135">
        <f t="shared" si="2"/>
        <v>2.3088121989488539E-2</v>
      </c>
      <c r="AC20" s="1132">
        <f t="shared" si="12"/>
        <v>16.5</v>
      </c>
      <c r="AD20" s="1133">
        <f t="shared" si="13"/>
        <v>67.5</v>
      </c>
      <c r="AE20" s="186">
        <f t="shared" si="3"/>
        <v>-21.273216030587367</v>
      </c>
      <c r="AF20" s="40">
        <f t="shared" si="4"/>
        <v>0.81956781743849927</v>
      </c>
      <c r="AG20" s="13">
        <f t="shared" si="5"/>
        <v>29.80073940971813</v>
      </c>
      <c r="AH20" s="1132">
        <f t="shared" si="14"/>
        <v>1</v>
      </c>
      <c r="AI20" s="1132">
        <f t="shared" si="15"/>
        <v>1</v>
      </c>
      <c r="AJ20" s="187">
        <f t="shared" si="16"/>
        <v>0.81956781743849927</v>
      </c>
      <c r="AK20" s="1136">
        <f t="shared" si="17"/>
        <v>4.6919171979319239E-2</v>
      </c>
      <c r="AN20" s="152">
        <f>SUM(AN8:AN19)</f>
        <v>12.789466376238062</v>
      </c>
      <c r="AP20" s="40">
        <f>SUM(AP8:AP19)</f>
        <v>60.75475506465277</v>
      </c>
      <c r="AR20" s="1132">
        <v>17</v>
      </c>
      <c r="AS20" s="44">
        <v>15</v>
      </c>
      <c r="AT20" s="1135">
        <f t="shared" si="19"/>
        <v>3.0833468285701604E-2</v>
      </c>
      <c r="AU20" s="1135">
        <f t="shared" si="6"/>
        <v>2.3088121989488539E-2</v>
      </c>
      <c r="AV20" s="1132">
        <f t="shared" si="20"/>
        <v>16.5</v>
      </c>
      <c r="AW20" s="1133">
        <f t="shared" si="21"/>
        <v>67.5</v>
      </c>
      <c r="AX20" s="186">
        <f t="shared" si="7"/>
        <v>-21.273216030587367</v>
      </c>
      <c r="AY20" s="40">
        <f t="shared" si="8"/>
        <v>0.81956781743849927</v>
      </c>
      <c r="AZ20" s="13">
        <f t="shared" si="9"/>
        <v>29.80073940971813</v>
      </c>
      <c r="BA20" s="1132">
        <f t="shared" si="22"/>
        <v>1</v>
      </c>
      <c r="BB20" s="1132">
        <f t="shared" si="23"/>
        <v>1</v>
      </c>
      <c r="BC20" s="187">
        <f t="shared" si="24"/>
        <v>0.81956781743849927</v>
      </c>
      <c r="BD20" s="1136">
        <f t="shared" si="10"/>
        <v>4.6919171979319239E-2</v>
      </c>
      <c r="BG20" s="152">
        <f>SUM(BG8:BG19)</f>
        <v>12.795314438856776</v>
      </c>
      <c r="BH20" s="1132"/>
      <c r="BI20" s="40">
        <f>SUM(BI8:BI19)</f>
        <v>60.769555217021065</v>
      </c>
    </row>
    <row r="21" spans="1:61" x14ac:dyDescent="0.2">
      <c r="A21" s="1135">
        <v>8.0000000000000002E-3</v>
      </c>
      <c r="B21" s="1135">
        <v>1.2848386422470571E-2</v>
      </c>
      <c r="C21" s="1135"/>
      <c r="D21" s="1135">
        <v>9.2399862069200249E-3</v>
      </c>
      <c r="E21" s="187">
        <v>1.6293794073228833E-2</v>
      </c>
      <c r="F21" s="187"/>
      <c r="G21" s="187">
        <v>1.1061480955039267E-2</v>
      </c>
      <c r="H21" s="187">
        <v>1.4886269410953116E-2</v>
      </c>
      <c r="I21" s="187"/>
      <c r="J21" s="187">
        <v>1.7658238232398711E-2</v>
      </c>
      <c r="K21" s="187">
        <v>1.4515805593028779E-2</v>
      </c>
      <c r="L21" s="187"/>
      <c r="M21" s="187">
        <v>1.1156289145525727E-2</v>
      </c>
      <c r="N21" s="187">
        <v>1.6805887153745935E-2</v>
      </c>
      <c r="O21" s="187"/>
      <c r="P21" s="187">
        <v>1.0676425793024013E-2</v>
      </c>
      <c r="Q21" s="187">
        <v>1.9202962683070618E-2</v>
      </c>
      <c r="R21" s="187"/>
      <c r="S21" s="187">
        <v>1.3383041443299069E-2</v>
      </c>
      <c r="T21" s="187">
        <v>2.2172026552978945E-2</v>
      </c>
      <c r="U21" s="187"/>
      <c r="V21" s="1138">
        <f t="shared" si="0"/>
        <v>1.1061480955039267E-2</v>
      </c>
      <c r="W21" s="1138">
        <f t="shared" si="1"/>
        <v>1.4886269410953116E-2</v>
      </c>
      <c r="Y21" s="1132">
        <v>18</v>
      </c>
      <c r="Z21" s="44">
        <v>15</v>
      </c>
      <c r="AA21" s="1135">
        <f t="shared" si="11"/>
        <v>1.1061480955039267E-2</v>
      </c>
      <c r="AB21" s="1135">
        <f t="shared" si="2"/>
        <v>1.4886269410953116E-2</v>
      </c>
      <c r="AC21" s="1132">
        <f t="shared" si="12"/>
        <v>17.5</v>
      </c>
      <c r="AD21" s="1133">
        <f t="shared" si="13"/>
        <v>82.5</v>
      </c>
      <c r="AE21" s="186">
        <f t="shared" si="3"/>
        <v>-21.273216030587367</v>
      </c>
      <c r="AF21" s="40">
        <f t="shared" si="4"/>
        <v>0.60795987265531315</v>
      </c>
      <c r="AG21" s="13">
        <f t="shared" si="5"/>
        <v>17.44380806420461</v>
      </c>
      <c r="AH21" s="1132">
        <f t="shared" si="14"/>
        <v>1</v>
      </c>
      <c r="AI21" s="1132">
        <f t="shared" si="15"/>
        <v>1</v>
      </c>
      <c r="AJ21" s="187">
        <f t="shared" si="16"/>
        <v>0.60795987265531315</v>
      </c>
      <c r="AK21" s="1136">
        <f t="shared" si="17"/>
        <v>2.0477065526092259E-2</v>
      </c>
      <c r="AR21" s="1132">
        <v>18</v>
      </c>
      <c r="AS21" s="44">
        <v>15</v>
      </c>
      <c r="AT21" s="1135">
        <f t="shared" si="19"/>
        <v>1.1061480955039267E-2</v>
      </c>
      <c r="AU21" s="1135">
        <f t="shared" si="6"/>
        <v>1.4886269410953116E-2</v>
      </c>
      <c r="AV21" s="1132">
        <f t="shared" si="20"/>
        <v>17.5</v>
      </c>
      <c r="AW21" s="1133">
        <f t="shared" si="21"/>
        <v>82.5</v>
      </c>
      <c r="AX21" s="186">
        <f t="shared" si="7"/>
        <v>-21.273216030587367</v>
      </c>
      <c r="AY21" s="40">
        <f t="shared" si="8"/>
        <v>0.60795987265531315</v>
      </c>
      <c r="AZ21" s="13">
        <f t="shared" si="9"/>
        <v>17.44380806420461</v>
      </c>
      <c r="BA21" s="1132">
        <f t="shared" si="22"/>
        <v>1</v>
      </c>
      <c r="BB21" s="1132">
        <f t="shared" si="23"/>
        <v>1</v>
      </c>
      <c r="BC21" s="187">
        <f t="shared" si="24"/>
        <v>0.60795987265531315</v>
      </c>
      <c r="BD21" s="1136">
        <f t="shared" si="10"/>
        <v>2.0477065526092259E-2</v>
      </c>
      <c r="BG21" s="1132"/>
      <c r="BH21" s="1132"/>
      <c r="BI21" s="1132"/>
    </row>
    <row r="22" spans="1:61" x14ac:dyDescent="0.2">
      <c r="A22" s="1135">
        <v>0</v>
      </c>
      <c r="B22" s="1135">
        <v>5.0000000000000001E-4</v>
      </c>
      <c r="C22" s="1135"/>
      <c r="D22" s="1135">
        <v>1.4736027054753855E-6</v>
      </c>
      <c r="E22" s="187">
        <v>2.1033449452428654E-3</v>
      </c>
      <c r="F22" s="187"/>
      <c r="G22" s="187">
        <v>3.7643953240030996E-6</v>
      </c>
      <c r="H22" s="187">
        <v>2.1519618560290371E-3</v>
      </c>
      <c r="I22" s="187"/>
      <c r="J22" s="187">
        <v>7.7410033908192752E-3</v>
      </c>
      <c r="K22" s="187">
        <v>7.8048091296897279E-3</v>
      </c>
      <c r="L22" s="187"/>
      <c r="M22" s="187">
        <v>7.8981921705773548E-4</v>
      </c>
      <c r="N22" s="187">
        <v>4.444693179093703E-3</v>
      </c>
      <c r="O22" s="187"/>
      <c r="P22" s="187">
        <v>1.6060965262049177E-3</v>
      </c>
      <c r="Q22" s="187">
        <v>5.8825057136078461E-3</v>
      </c>
      <c r="R22" s="187"/>
      <c r="S22" s="187">
        <v>4.1433714930565035E-3</v>
      </c>
      <c r="T22" s="187">
        <v>1.3195921540630588E-2</v>
      </c>
      <c r="U22" s="187"/>
      <c r="V22" s="1138">
        <f t="shared" si="0"/>
        <v>3.7643953240030996E-6</v>
      </c>
      <c r="W22" s="1138">
        <f t="shared" si="1"/>
        <v>2.1519618560290371E-3</v>
      </c>
      <c r="Y22" s="1132">
        <v>19</v>
      </c>
      <c r="Z22" s="44">
        <v>15</v>
      </c>
      <c r="AA22" s="1135">
        <f t="shared" si="11"/>
        <v>3.7643953240030996E-6</v>
      </c>
      <c r="AB22" s="1135">
        <f t="shared" si="2"/>
        <v>2.1519618560290371E-3</v>
      </c>
      <c r="AC22" s="1132">
        <f t="shared" si="12"/>
        <v>18.5</v>
      </c>
      <c r="AD22" s="1133">
        <f t="shared" si="13"/>
        <v>97.5</v>
      </c>
      <c r="AE22" s="186">
        <f t="shared" si="3"/>
        <v>-21.273216030587367</v>
      </c>
      <c r="AF22" s="40">
        <f t="shared" si="4"/>
        <v>-0.60576393060672451</v>
      </c>
      <c r="AG22" s="13">
        <f t="shared" si="5"/>
        <v>5.4853421049929745</v>
      </c>
      <c r="AH22" s="1132">
        <f t="shared" si="14"/>
        <v>1</v>
      </c>
      <c r="AI22" s="1132">
        <f t="shared" si="15"/>
        <v>0</v>
      </c>
      <c r="AJ22" s="187">
        <f t="shared" si="16"/>
        <v>0</v>
      </c>
      <c r="AK22" s="1136">
        <f t="shared" si="17"/>
        <v>1.9506929907130701E-3</v>
      </c>
      <c r="AR22" s="1132">
        <v>19</v>
      </c>
      <c r="AS22" s="44">
        <v>15</v>
      </c>
      <c r="AT22" s="1135">
        <f t="shared" si="19"/>
        <v>3.7643953240030996E-6</v>
      </c>
      <c r="AU22" s="1135">
        <f t="shared" si="6"/>
        <v>2.1519618560290371E-3</v>
      </c>
      <c r="AV22" s="1132">
        <f t="shared" si="20"/>
        <v>18.5</v>
      </c>
      <c r="AW22" s="1133">
        <f t="shared" si="21"/>
        <v>97.5</v>
      </c>
      <c r="AX22" s="186">
        <f t="shared" si="7"/>
        <v>-21.273216030587367</v>
      </c>
      <c r="AY22" s="40">
        <f t="shared" si="8"/>
        <v>-0.60576393060672451</v>
      </c>
      <c r="AZ22" s="13">
        <f t="shared" si="9"/>
        <v>5.4853421049929745</v>
      </c>
      <c r="BA22" s="1132">
        <f t="shared" si="22"/>
        <v>1</v>
      </c>
      <c r="BB22" s="1132">
        <f t="shared" si="23"/>
        <v>0</v>
      </c>
      <c r="BC22" s="187">
        <f t="shared" si="24"/>
        <v>0</v>
      </c>
      <c r="BD22" s="1136">
        <f t="shared" si="10"/>
        <v>1.9506929907130701E-3</v>
      </c>
      <c r="BG22" s="1132"/>
      <c r="BH22" s="1132"/>
      <c r="BI22" s="1132"/>
    </row>
    <row r="23" spans="1:61" x14ac:dyDescent="0.2">
      <c r="A23" s="1135">
        <v>0</v>
      </c>
      <c r="B23" s="1135">
        <v>0</v>
      </c>
      <c r="C23" s="1135"/>
      <c r="D23" s="1135">
        <v>7.3235749832886896E-7</v>
      </c>
      <c r="E23" s="187">
        <v>0</v>
      </c>
      <c r="F23" s="187"/>
      <c r="G23" s="187">
        <v>0</v>
      </c>
      <c r="H23" s="187">
        <v>0</v>
      </c>
      <c r="I23" s="187"/>
      <c r="J23" s="187">
        <v>1.0003828344332237E-3</v>
      </c>
      <c r="K23" s="187">
        <v>2.7960586283589119E-3</v>
      </c>
      <c r="L23" s="187"/>
      <c r="M23" s="187">
        <v>4.1681090748025947E-6</v>
      </c>
      <c r="N23" s="187">
        <v>5.41854179724337E-5</v>
      </c>
      <c r="O23" s="187"/>
      <c r="P23" s="187">
        <v>4.5413816560243867E-6</v>
      </c>
      <c r="Q23" s="187">
        <v>1.4229662522209744E-4</v>
      </c>
      <c r="R23" s="187"/>
      <c r="S23" s="187">
        <v>3.5788886771119825E-4</v>
      </c>
      <c r="T23" s="187">
        <v>2.3674699369359629E-3</v>
      </c>
      <c r="U23" s="187"/>
      <c r="V23" s="1138">
        <f t="shared" si="0"/>
        <v>0</v>
      </c>
      <c r="W23" s="1138">
        <f t="shared" si="1"/>
        <v>0</v>
      </c>
      <c r="Y23" s="1132">
        <v>20</v>
      </c>
      <c r="Z23" s="44">
        <v>15</v>
      </c>
      <c r="AA23" s="1135">
        <f t="shared" si="11"/>
        <v>0</v>
      </c>
      <c r="AB23" s="1135">
        <f t="shared" si="2"/>
        <v>0</v>
      </c>
      <c r="AC23" s="1132">
        <f t="shared" si="12"/>
        <v>19.5</v>
      </c>
      <c r="AD23" s="1133">
        <f t="shared" si="13"/>
        <v>112.5</v>
      </c>
      <c r="AE23" s="186">
        <f t="shared" si="3"/>
        <v>-21.273216030587367</v>
      </c>
      <c r="AF23" s="40">
        <f t="shared" si="4"/>
        <v>2.9282618158122622</v>
      </c>
      <c r="AG23" s="13">
        <f t="shared" si="5"/>
        <v>-5.8335364225976063</v>
      </c>
      <c r="AH23" s="1132">
        <f t="shared" si="14"/>
        <v>0</v>
      </c>
      <c r="AI23" s="1132">
        <f t="shared" si="15"/>
        <v>1</v>
      </c>
      <c r="AJ23" s="187">
        <f t="shared" si="16"/>
        <v>0</v>
      </c>
      <c r="AK23" s="1136">
        <f t="shared" si="17"/>
        <v>0</v>
      </c>
      <c r="AR23" s="1132">
        <v>20</v>
      </c>
      <c r="AS23" s="44">
        <v>15</v>
      </c>
      <c r="AT23" s="1135">
        <f t="shared" si="19"/>
        <v>0</v>
      </c>
      <c r="AU23" s="1135">
        <f t="shared" si="6"/>
        <v>0</v>
      </c>
      <c r="AV23" s="1132">
        <f t="shared" si="20"/>
        <v>19.5</v>
      </c>
      <c r="AW23" s="1133">
        <f t="shared" si="21"/>
        <v>112.5</v>
      </c>
      <c r="AX23" s="186">
        <f t="shared" si="7"/>
        <v>-21.273216030587367</v>
      </c>
      <c r="AY23" s="40">
        <f t="shared" si="8"/>
        <v>2.9282618158122622</v>
      </c>
      <c r="AZ23" s="13">
        <f t="shared" si="9"/>
        <v>-5.8335364225976063</v>
      </c>
      <c r="BA23" s="1132">
        <f t="shared" si="22"/>
        <v>0</v>
      </c>
      <c r="BB23" s="1132">
        <f t="shared" si="23"/>
        <v>1</v>
      </c>
      <c r="BC23" s="187">
        <f t="shared" si="24"/>
        <v>0</v>
      </c>
      <c r="BD23" s="1136">
        <f t="shared" si="10"/>
        <v>0</v>
      </c>
      <c r="BG23" s="1132"/>
      <c r="BH23" s="1132"/>
      <c r="BI23" s="1132"/>
    </row>
    <row r="24" spans="1:61" x14ac:dyDescent="0.2">
      <c r="A24" s="1135">
        <f>SUM(A8:A23)</f>
        <v>0.63400000000000012</v>
      </c>
      <c r="B24" s="1135">
        <f>SUM(B8:B23)</f>
        <v>0.36588027687480701</v>
      </c>
      <c r="C24" s="1135"/>
      <c r="D24" s="1135">
        <v>0.58181462555130858</v>
      </c>
      <c r="E24" s="1135">
        <v>0.41754236456515859</v>
      </c>
      <c r="F24" s="187"/>
      <c r="G24" s="187"/>
      <c r="H24" s="187"/>
      <c r="I24" s="187"/>
      <c r="J24" s="187">
        <f>SUM(J8:J23)</f>
        <v>0.57180424399314544</v>
      </c>
      <c r="K24" s="187">
        <f>SUM(K8:K23)</f>
        <v>0.42819575600685478</v>
      </c>
      <c r="L24" s="187"/>
      <c r="M24" s="187"/>
      <c r="N24" s="187"/>
      <c r="O24" s="187"/>
      <c r="P24" s="187"/>
      <c r="Q24" s="187"/>
      <c r="R24" s="187"/>
      <c r="S24" s="187"/>
      <c r="T24" s="187"/>
      <c r="U24" s="187"/>
      <c r="V24" s="1138"/>
      <c r="W24" s="1138"/>
      <c r="Y24" s="11"/>
      <c r="Z24" s="1139"/>
      <c r="AA24" s="1135"/>
      <c r="AB24" s="187"/>
      <c r="AC24" s="1132">
        <f t="shared" si="12"/>
        <v>-0.5</v>
      </c>
      <c r="AF24" s="187"/>
      <c r="AK24" s="187">
        <f>SUM(AK8:AK23)</f>
        <v>0.86192466535175039</v>
      </c>
      <c r="AL24" s="187"/>
      <c r="AR24" s="11"/>
      <c r="AS24" s="1139"/>
      <c r="AT24" s="1135"/>
      <c r="AU24" s="1135"/>
      <c r="AV24" s="1132">
        <f t="shared" si="20"/>
        <v>-0.5</v>
      </c>
      <c r="AY24" s="40"/>
      <c r="BD24" s="187">
        <f>SUM(BD8:BD23)</f>
        <v>0.86192466535175039</v>
      </c>
      <c r="BE24" s="187"/>
      <c r="BG24" s="1132"/>
      <c r="BH24" s="1132"/>
      <c r="BI24" s="1132"/>
    </row>
    <row r="25" spans="1:61" x14ac:dyDescent="0.2">
      <c r="A25" s="1135" t="s">
        <v>1257</v>
      </c>
      <c r="B25" s="1135"/>
      <c r="C25" s="1135"/>
      <c r="D25" s="1135" t="s">
        <v>1257</v>
      </c>
      <c r="E25" s="187"/>
      <c r="F25" s="187"/>
      <c r="G25" s="187" t="s">
        <v>1257</v>
      </c>
      <c r="H25" s="187"/>
      <c r="I25" s="187"/>
      <c r="J25" s="187" t="s">
        <v>1257</v>
      </c>
      <c r="K25" s="187"/>
      <c r="L25" s="187"/>
      <c r="M25" s="187" t="s">
        <v>1257</v>
      </c>
      <c r="N25" s="187"/>
      <c r="O25" s="187"/>
      <c r="P25" s="187" t="s">
        <v>1257</v>
      </c>
      <c r="Q25" s="187"/>
      <c r="R25" s="187"/>
      <c r="S25" s="187" t="s">
        <v>1257</v>
      </c>
      <c r="T25" s="187"/>
      <c r="U25" s="187"/>
      <c r="V25" s="1138"/>
      <c r="W25" s="1138"/>
      <c r="Z25" s="44"/>
      <c r="AC25" s="1132">
        <f t="shared" si="12"/>
        <v>-0.5</v>
      </c>
      <c r="AS25" s="44"/>
      <c r="AT25" s="1135"/>
      <c r="AU25" s="1135"/>
      <c r="AV25" s="1132">
        <f t="shared" si="20"/>
        <v>-0.5</v>
      </c>
      <c r="AY25" s="40"/>
      <c r="BG25" s="1132"/>
      <c r="BH25" s="1132"/>
      <c r="BI25" s="1132"/>
    </row>
    <row r="26" spans="1:61" x14ac:dyDescent="0.2">
      <c r="A26" s="1135">
        <v>0</v>
      </c>
      <c r="B26" s="1135">
        <v>0</v>
      </c>
      <c r="C26" s="1135"/>
      <c r="D26" s="1135">
        <v>0</v>
      </c>
      <c r="E26" s="187">
        <v>0</v>
      </c>
      <c r="F26" s="187"/>
      <c r="G26" s="187">
        <v>0</v>
      </c>
      <c r="H26" s="187">
        <v>0</v>
      </c>
      <c r="I26" s="187"/>
      <c r="J26" s="187">
        <v>3.1945222983683914E-4</v>
      </c>
      <c r="K26" s="187">
        <v>1.6695899559397019E-3</v>
      </c>
      <c r="L26" s="187"/>
      <c r="M26" s="187">
        <v>0</v>
      </c>
      <c r="N26" s="187">
        <v>0</v>
      </c>
      <c r="O26" s="187"/>
      <c r="P26" s="187">
        <v>0</v>
      </c>
      <c r="Q26" s="187">
        <v>0</v>
      </c>
      <c r="R26" s="187"/>
      <c r="S26" s="187">
        <v>3.5480086532420419E-6</v>
      </c>
      <c r="T26" s="187">
        <v>1.6320839804913388E-4</v>
      </c>
      <c r="U26" s="187"/>
      <c r="V26" s="1138">
        <f t="shared" ref="V26:V41" si="26">CHOOSE($B$1,A26,D26,G26,J26,M26,P26,S26)</f>
        <v>0</v>
      </c>
      <c r="W26" s="1138">
        <f t="shared" ref="W26:W41" si="27">CHOOSE($B$1,B26,E26,H26,K26,N26,Q26,T26)</f>
        <v>0</v>
      </c>
      <c r="Y26" s="1132">
        <v>5</v>
      </c>
      <c r="Z26" s="44">
        <v>45</v>
      </c>
      <c r="AA26" s="1135">
        <f>V26</f>
        <v>0</v>
      </c>
      <c r="AB26" s="1135">
        <f t="shared" ref="AB26:AB41" si="28">W26</f>
        <v>0</v>
      </c>
      <c r="AC26" s="1132">
        <f t="shared" si="12"/>
        <v>4.5</v>
      </c>
      <c r="AD26" s="1133">
        <f>15*(AC26-12)</f>
        <v>-112.5</v>
      </c>
      <c r="AE26" s="186">
        <f t="shared" ref="AE26:AE41" si="29">23.45*SIN(360*(284+Z26)/365/57.3)</f>
        <v>-13.627728336645527</v>
      </c>
      <c r="AF26" s="40">
        <f t="shared" ref="AF26:AF41" si="30">((SIN(AE26/57.3)*SIN($B$2/57.3)*COS($Z$2/57.3))-SIN(AE26/57.3)*COS($B$2/57.3)*SIN($Z$2/57.3)*COS($Z$3/57.3)+COS(AE26/57.3)*COS($B$2/57.3)*COS($Z$2/57.3)*COS(AD26/57.3)+COS(AE26/57.3)*SIN($B$2/57.3)*SIN($Z$2/57.3)*COS($Z$3/57.3)*COS(AD26/57.3)+COS(AE26/57.3)*SIN($Z$2/57.3)*SIN($Z$3/57.3)*SIN(AD26/57.3))/(COS($B$2/57.3)*COS(AE26/57.3)*COS(AD26/57.3)+SIN($B$2/57.3)*SIN(AE26/57.3))</f>
        <v>2.6928348443002874</v>
      </c>
      <c r="AG26" s="13">
        <f t="shared" ref="AG26:AG41" si="31">57.3*ASIN(SIN($B$2/57.3)*SIN(AE26/57.3)+COS($B$2/57.3)*COS(AD26/57.3)*COS(AE26/57.6))</f>
        <v>-10.580188557885966</v>
      </c>
      <c r="AH26" s="1132">
        <f>IF(AG26&lt;0,0,1)</f>
        <v>0</v>
      </c>
      <c r="AI26" s="1132">
        <f>IF(AF26&lt;0,0,1)</f>
        <v>1</v>
      </c>
      <c r="AJ26" s="187">
        <f>AF26*AI26*AH26</f>
        <v>0</v>
      </c>
      <c r="AK26" s="1136">
        <f t="shared" ref="AK26:AK41" si="32">AA26*AJ26+((1+COS($Z$2/57.3))/2)*AB26+((1-COS($Z$2/57.3))/2)*(AA26+AB26)*0.2</f>
        <v>0</v>
      </c>
      <c r="AR26" s="1132">
        <v>5</v>
      </c>
      <c r="AS26" s="44">
        <v>45</v>
      </c>
      <c r="AT26" s="1135">
        <f t="shared" si="19"/>
        <v>0</v>
      </c>
      <c r="AU26" s="1135">
        <f t="shared" si="6"/>
        <v>0</v>
      </c>
      <c r="AV26" s="1132">
        <f t="shared" si="20"/>
        <v>4.5</v>
      </c>
      <c r="AW26" s="1133">
        <f>15*(AV26-12)</f>
        <v>-112.5</v>
      </c>
      <c r="AX26" s="186">
        <f t="shared" ref="AX26:AX41" si="33">23.45*SIN(360*(284+AS26)/365/57.3)</f>
        <v>-13.627728336645527</v>
      </c>
      <c r="AY26" s="40">
        <f t="shared" ref="AY26:AY41" si="34">((SIN(AX26/57.3)*SIN($B$2/57.3)*COS($AS$2/57.3))-SIN(AX26/57.3)*COS($B$2/57.3)*SIN($AS$2/57.3)*COS($AS$3/57.3)+COS(AX26/57.3)*COS($B$2/57.3)*COS($AS$2/57.3)*COS(AW26/57.3)+COS(AX26/57.3)*SIN($B$2/57.3)*SIN($AS$2/57.3)*COS($AS$3/57.3)*COS(AW26/57.3)+COS(AX26/57.3)*SIN($AS$2/57.3)*SIN($AS$3/57.3)*SIN(AW26/57.3))/(COS($B$2/57.3)*COS(AX26/57.3)*COS(AW26/57.3)+SIN($B$2/57.3)*SIN(AX26/57.3))</f>
        <v>2.6928348443002874</v>
      </c>
      <c r="AZ26" s="13">
        <f t="shared" ref="AZ26:AZ41" si="35">57.3*ASIN(SIN($B$2/57.3)*SIN(AX26/57.3)+COS($B$2/57.3)*COS(AW26/57.3)*COS(AX26/57.6))</f>
        <v>-10.580188557885966</v>
      </c>
      <c r="BA26" s="1132">
        <f>IF(AZ26&lt;0,0,1)</f>
        <v>0</v>
      </c>
      <c r="BB26" s="1132">
        <f>IF(AY26&lt;0,0,1)</f>
        <v>1</v>
      </c>
      <c r="BC26" s="187">
        <f>AY26*BB26*BA26</f>
        <v>0</v>
      </c>
      <c r="BD26" s="1136">
        <f t="shared" ref="BD26:BD41" si="36">AT26*BC26+((1+COS($Z$2/57.3))/2)*AU26+((1-COS($Z$2/57.3))/2)*(AT26+AU26)*0.2</f>
        <v>0</v>
      </c>
      <c r="BG26" s="1132"/>
      <c r="BH26" s="1132"/>
      <c r="BI26" s="1132"/>
    </row>
    <row r="27" spans="1:61" x14ac:dyDescent="0.2">
      <c r="A27" s="1135">
        <v>0</v>
      </c>
      <c r="B27" s="1135">
        <v>3.2192769652668237E-4</v>
      </c>
      <c r="C27" s="1135"/>
      <c r="D27" s="1135">
        <v>0</v>
      </c>
      <c r="E27" s="187">
        <v>9.4005465677611435E-4</v>
      </c>
      <c r="F27" s="187"/>
      <c r="G27" s="187">
        <v>0</v>
      </c>
      <c r="H27" s="187">
        <v>8.4662748659759704E-4</v>
      </c>
      <c r="I27" s="187"/>
      <c r="J27" s="187">
        <v>6.9706887510623296E-3</v>
      </c>
      <c r="K27" s="187">
        <v>6.2715102857590597E-3</v>
      </c>
      <c r="L27" s="187"/>
      <c r="M27" s="187">
        <v>1.0175461141531947E-4</v>
      </c>
      <c r="N27" s="187">
        <v>1.430308771749209E-3</v>
      </c>
      <c r="O27" s="187"/>
      <c r="P27" s="187">
        <v>2.1500573564404139E-4</v>
      </c>
      <c r="Q27" s="187">
        <v>1.7321588843435445E-3</v>
      </c>
      <c r="R27" s="187"/>
      <c r="S27" s="187">
        <v>5.7823649490869149E-4</v>
      </c>
      <c r="T27" s="187">
        <v>5.5491931939636143E-3</v>
      </c>
      <c r="U27" s="187"/>
      <c r="V27" s="1138">
        <f t="shared" si="26"/>
        <v>0</v>
      </c>
      <c r="W27" s="1138">
        <f t="shared" si="27"/>
        <v>8.4662748659759704E-4</v>
      </c>
      <c r="Y27" s="1132">
        <v>6</v>
      </c>
      <c r="Z27" s="44">
        <v>45</v>
      </c>
      <c r="AA27" s="1135">
        <f t="shared" ref="AA27:AA41" si="37">V27</f>
        <v>0</v>
      </c>
      <c r="AB27" s="1135">
        <f t="shared" si="28"/>
        <v>8.4662748659759704E-4</v>
      </c>
      <c r="AC27" s="1132">
        <f t="shared" si="12"/>
        <v>5.5</v>
      </c>
      <c r="AD27" s="1133">
        <f t="shared" ref="AD27:AD41" si="38">15*(AC27-12)</f>
        <v>-97.5</v>
      </c>
      <c r="AE27" s="186">
        <f t="shared" si="29"/>
        <v>-13.627728336645527</v>
      </c>
      <c r="AF27" s="40">
        <f t="shared" si="30"/>
        <v>-11.789051904751245</v>
      </c>
      <c r="AG27" s="13">
        <f t="shared" si="31"/>
        <v>1.2598731446530007</v>
      </c>
      <c r="AH27" s="1132">
        <f t="shared" ref="AH27:AH41" si="39">IF(AG27&lt;0,0,1)</f>
        <v>1</v>
      </c>
      <c r="AI27" s="1132">
        <f t="shared" ref="AI27:AI41" si="40">IF(AF27&lt;0,0,1)</f>
        <v>0</v>
      </c>
      <c r="AJ27" s="187">
        <f t="shared" ref="AJ27:AJ41" si="41">AF27*AI27*AH27</f>
        <v>0</v>
      </c>
      <c r="AK27" s="1136">
        <f t="shared" si="32"/>
        <v>7.6740939769604053E-4</v>
      </c>
      <c r="AR27" s="1132">
        <v>6</v>
      </c>
      <c r="AS27" s="44">
        <v>45</v>
      </c>
      <c r="AT27" s="1135">
        <f t="shared" si="19"/>
        <v>0</v>
      </c>
      <c r="AU27" s="1135">
        <f t="shared" si="6"/>
        <v>8.4662748659759704E-4</v>
      </c>
      <c r="AV27" s="1132">
        <f t="shared" si="20"/>
        <v>5.5</v>
      </c>
      <c r="AW27" s="1133">
        <f t="shared" ref="AW27:AW41" si="42">15*(AV27-12)</f>
        <v>-97.5</v>
      </c>
      <c r="AX27" s="186">
        <f t="shared" si="33"/>
        <v>-13.627728336645527</v>
      </c>
      <c r="AY27" s="40">
        <f t="shared" si="34"/>
        <v>-11.789051904751245</v>
      </c>
      <c r="AZ27" s="13">
        <f t="shared" si="35"/>
        <v>1.2598731446530007</v>
      </c>
      <c r="BA27" s="1132">
        <f t="shared" ref="BA27:BA41" si="43">IF(AZ27&lt;0,0,1)</f>
        <v>1</v>
      </c>
      <c r="BB27" s="1132">
        <f t="shared" ref="BB27:BB41" si="44">IF(AY27&lt;0,0,1)</f>
        <v>0</v>
      </c>
      <c r="BC27" s="187">
        <f t="shared" ref="BC27:BC41" si="45">AY27*BB27*BA27</f>
        <v>0</v>
      </c>
      <c r="BD27" s="1136">
        <f t="shared" si="36"/>
        <v>7.6740939769604053E-4</v>
      </c>
      <c r="BG27" s="1132"/>
      <c r="BH27" s="1132"/>
      <c r="BI27" s="1132"/>
    </row>
    <row r="28" spans="1:61" x14ac:dyDescent="0.2">
      <c r="A28" s="1135">
        <v>4.1660170525331958E-3</v>
      </c>
      <c r="B28" s="1135">
        <v>1.0131633803561069E-2</v>
      </c>
      <c r="C28" s="1135"/>
      <c r="D28" s="1135">
        <v>6.3060864095285506E-3</v>
      </c>
      <c r="E28" s="187">
        <v>1.4649180638713837E-2</v>
      </c>
      <c r="F28" s="187"/>
      <c r="G28" s="187">
        <v>7.8060384458731209E-3</v>
      </c>
      <c r="H28" s="187">
        <v>1.3287964780915554E-2</v>
      </c>
      <c r="I28" s="187"/>
      <c r="J28" s="187">
        <v>1.6035899197753001E-2</v>
      </c>
      <c r="K28" s="187">
        <v>1.1979458618881444E-2</v>
      </c>
      <c r="L28" s="187"/>
      <c r="M28" s="187">
        <v>7.2073454678568474E-3</v>
      </c>
      <c r="N28" s="187">
        <v>1.3833850873437113E-2</v>
      </c>
      <c r="O28" s="187"/>
      <c r="P28" s="187">
        <v>4.868958672600311E-3</v>
      </c>
      <c r="Q28" s="187">
        <v>1.7030982457212136E-2</v>
      </c>
      <c r="R28" s="187"/>
      <c r="S28" s="187">
        <v>7.5296770630558663E-3</v>
      </c>
      <c r="T28" s="187">
        <v>2.0543939413196488E-2</v>
      </c>
      <c r="U28" s="187"/>
      <c r="V28" s="1138">
        <f t="shared" si="26"/>
        <v>7.8060384458731209E-3</v>
      </c>
      <c r="W28" s="1138">
        <f t="shared" si="27"/>
        <v>1.3287964780915554E-2</v>
      </c>
      <c r="Y28" s="1132">
        <v>7</v>
      </c>
      <c r="Z28" s="44">
        <v>45</v>
      </c>
      <c r="AA28" s="1135">
        <f t="shared" si="37"/>
        <v>7.8060384458731209E-3</v>
      </c>
      <c r="AB28" s="1135">
        <f t="shared" si="28"/>
        <v>1.3287964780915554E-2</v>
      </c>
      <c r="AC28" s="1132">
        <f t="shared" si="12"/>
        <v>6.5</v>
      </c>
      <c r="AD28" s="1133">
        <f t="shared" si="38"/>
        <v>-82.5</v>
      </c>
      <c r="AE28" s="186">
        <f t="shared" si="29"/>
        <v>-13.627728336645527</v>
      </c>
      <c r="AF28" s="40">
        <f t="shared" si="30"/>
        <v>-3.8837577718277408E-2</v>
      </c>
      <c r="AG28" s="13">
        <f t="shared" si="31"/>
        <v>13.581641086385119</v>
      </c>
      <c r="AH28" s="1132">
        <f t="shared" si="39"/>
        <v>1</v>
      </c>
      <c r="AI28" s="1132">
        <f t="shared" si="40"/>
        <v>0</v>
      </c>
      <c r="AJ28" s="187">
        <f t="shared" si="41"/>
        <v>0</v>
      </c>
      <c r="AK28" s="1136">
        <f t="shared" si="32"/>
        <v>1.222722398563279E-2</v>
      </c>
      <c r="AR28" s="1132">
        <v>7</v>
      </c>
      <c r="AS28" s="44">
        <v>45</v>
      </c>
      <c r="AT28" s="1135">
        <f t="shared" si="19"/>
        <v>7.8060384458731209E-3</v>
      </c>
      <c r="AU28" s="1135">
        <f t="shared" si="6"/>
        <v>1.3287964780915554E-2</v>
      </c>
      <c r="AV28" s="1132">
        <f t="shared" si="20"/>
        <v>6.5</v>
      </c>
      <c r="AW28" s="1133">
        <f t="shared" si="42"/>
        <v>-82.5</v>
      </c>
      <c r="AX28" s="186">
        <f t="shared" si="33"/>
        <v>-13.627728336645527</v>
      </c>
      <c r="AY28" s="40">
        <f t="shared" si="34"/>
        <v>-3.8837577718277408E-2</v>
      </c>
      <c r="AZ28" s="13">
        <f t="shared" si="35"/>
        <v>13.581641086385119</v>
      </c>
      <c r="BA28" s="1132">
        <f t="shared" si="43"/>
        <v>1</v>
      </c>
      <c r="BB28" s="1132">
        <f t="shared" si="44"/>
        <v>0</v>
      </c>
      <c r="BC28" s="187">
        <f t="shared" si="45"/>
        <v>0</v>
      </c>
      <c r="BD28" s="1136">
        <f t="shared" si="36"/>
        <v>1.222722398563279E-2</v>
      </c>
      <c r="BG28" s="1132"/>
      <c r="BH28" s="1132"/>
      <c r="BI28" s="1132"/>
    </row>
    <row r="29" spans="1:61" x14ac:dyDescent="0.2">
      <c r="A29" s="1135">
        <v>2.4163241217638871E-2</v>
      </c>
      <c r="B29" s="1135">
        <v>2.1832366878180926E-2</v>
      </c>
      <c r="C29" s="1135"/>
      <c r="D29" s="1135">
        <v>2.2646479721898462E-2</v>
      </c>
      <c r="E29" s="187">
        <v>2.7064435735126673E-2</v>
      </c>
      <c r="F29" s="187"/>
      <c r="G29" s="187">
        <v>3.0217820025452126E-2</v>
      </c>
      <c r="H29" s="187">
        <v>2.1406648673466359E-2</v>
      </c>
      <c r="I29" s="187"/>
      <c r="J29" s="187">
        <v>2.9040015912337496E-2</v>
      </c>
      <c r="K29" s="187">
        <v>2.1394258298223744E-2</v>
      </c>
      <c r="L29" s="187"/>
      <c r="M29" s="187">
        <v>2.8628858633105422E-2</v>
      </c>
      <c r="N29" s="187">
        <v>2.1879492400576746E-2</v>
      </c>
      <c r="O29" s="187"/>
      <c r="P29" s="187">
        <v>2.6704154462206281E-2</v>
      </c>
      <c r="Q29" s="187">
        <v>2.7515629543851113E-2</v>
      </c>
      <c r="R29" s="187"/>
      <c r="S29" s="187">
        <v>2.8074186449587292E-2</v>
      </c>
      <c r="T29" s="187">
        <v>2.9436488943908871E-2</v>
      </c>
      <c r="U29" s="187"/>
      <c r="V29" s="1138">
        <f t="shared" si="26"/>
        <v>3.0217820025452126E-2</v>
      </c>
      <c r="W29" s="1138">
        <f t="shared" si="27"/>
        <v>2.1406648673466359E-2</v>
      </c>
      <c r="Y29" s="1132">
        <v>8</v>
      </c>
      <c r="Z29" s="44">
        <v>45</v>
      </c>
      <c r="AA29" s="1135">
        <f t="shared" si="37"/>
        <v>3.0217820025452126E-2</v>
      </c>
      <c r="AB29" s="1135">
        <f t="shared" si="28"/>
        <v>2.1406648673466359E-2</v>
      </c>
      <c r="AC29" s="1132">
        <f t="shared" si="12"/>
        <v>7.5</v>
      </c>
      <c r="AD29" s="1133">
        <f t="shared" si="38"/>
        <v>-67.5</v>
      </c>
      <c r="AE29" s="186">
        <f t="shared" si="29"/>
        <v>-13.627728336645527</v>
      </c>
      <c r="AF29" s="40">
        <f t="shared" si="30"/>
        <v>0.54537591099818927</v>
      </c>
      <c r="AG29" s="13">
        <f t="shared" si="31"/>
        <v>26.130346311552202</v>
      </c>
      <c r="AH29" s="1132">
        <f t="shared" si="39"/>
        <v>1</v>
      </c>
      <c r="AI29" s="1132">
        <f t="shared" si="40"/>
        <v>1</v>
      </c>
      <c r="AJ29" s="187">
        <f t="shared" si="41"/>
        <v>0.54537591099818927</v>
      </c>
      <c r="AK29" s="1136">
        <f t="shared" si="32"/>
        <v>3.6590583862678237E-2</v>
      </c>
      <c r="AR29" s="1132">
        <v>8</v>
      </c>
      <c r="AS29" s="44">
        <v>45</v>
      </c>
      <c r="AT29" s="1135">
        <f t="shared" si="19"/>
        <v>3.0217820025452126E-2</v>
      </c>
      <c r="AU29" s="1135">
        <f t="shared" si="6"/>
        <v>2.1406648673466359E-2</v>
      </c>
      <c r="AV29" s="1132">
        <f t="shared" si="20"/>
        <v>7.5</v>
      </c>
      <c r="AW29" s="1133">
        <f t="shared" si="42"/>
        <v>-67.5</v>
      </c>
      <c r="AX29" s="186">
        <f t="shared" si="33"/>
        <v>-13.627728336645527</v>
      </c>
      <c r="AY29" s="40">
        <f t="shared" si="34"/>
        <v>0.54537591099818927</v>
      </c>
      <c r="AZ29" s="13">
        <f t="shared" si="35"/>
        <v>26.130346311552202</v>
      </c>
      <c r="BA29" s="1132">
        <f t="shared" si="43"/>
        <v>1</v>
      </c>
      <c r="BB29" s="1132">
        <f t="shared" si="44"/>
        <v>1</v>
      </c>
      <c r="BC29" s="187">
        <f t="shared" si="45"/>
        <v>0.54537591099818927</v>
      </c>
      <c r="BD29" s="1136">
        <f t="shared" si="36"/>
        <v>3.6590583862678237E-2</v>
      </c>
      <c r="BG29" s="1132"/>
      <c r="BH29" s="1132"/>
      <c r="BI29" s="1132"/>
    </row>
    <row r="30" spans="1:61" x14ac:dyDescent="0.2">
      <c r="A30" s="1135">
        <v>4.7860956515997879E-2</v>
      </c>
      <c r="B30" s="1135">
        <v>3.0801505761998148E-2</v>
      </c>
      <c r="C30" s="1135"/>
      <c r="D30" s="1135">
        <v>4.2914556723065683E-2</v>
      </c>
      <c r="E30" s="187">
        <v>3.6832118705543759E-2</v>
      </c>
      <c r="F30" s="187"/>
      <c r="G30" s="187">
        <v>4.5951283116524487E-2</v>
      </c>
      <c r="H30" s="187">
        <v>3.3084697633980739E-2</v>
      </c>
      <c r="I30" s="187"/>
      <c r="J30" s="187">
        <v>4.3605229372728455E-2</v>
      </c>
      <c r="K30" s="187">
        <v>3.189399007889869E-2</v>
      </c>
      <c r="L30" s="187"/>
      <c r="M30" s="187">
        <v>5.3619004947553894E-2</v>
      </c>
      <c r="N30" s="187">
        <v>2.7373914965762271E-2</v>
      </c>
      <c r="O30" s="187"/>
      <c r="P30" s="187">
        <v>4.2775037810572306E-2</v>
      </c>
      <c r="Q30" s="187">
        <v>3.7136436687062353E-2</v>
      </c>
      <c r="R30" s="187"/>
      <c r="S30" s="187">
        <v>4.2864675209368194E-2</v>
      </c>
      <c r="T30" s="187">
        <v>3.7922299155402031E-2</v>
      </c>
      <c r="U30" s="187"/>
      <c r="V30" s="1138">
        <f t="shared" si="26"/>
        <v>4.5951283116524487E-2</v>
      </c>
      <c r="W30" s="1138">
        <f t="shared" si="27"/>
        <v>3.3084697633980739E-2</v>
      </c>
      <c r="Y30" s="1132">
        <v>9</v>
      </c>
      <c r="Z30" s="44">
        <v>45</v>
      </c>
      <c r="AA30" s="1135">
        <f t="shared" si="37"/>
        <v>4.5951283116524487E-2</v>
      </c>
      <c r="AB30" s="1135">
        <f t="shared" si="28"/>
        <v>3.3084697633980739E-2</v>
      </c>
      <c r="AC30" s="1132">
        <f t="shared" si="12"/>
        <v>8.5</v>
      </c>
      <c r="AD30" s="1133">
        <f t="shared" si="38"/>
        <v>-52.5</v>
      </c>
      <c r="AE30" s="186">
        <f t="shared" si="29"/>
        <v>-13.627728336645527</v>
      </c>
      <c r="AF30" s="40">
        <f t="shared" si="30"/>
        <v>0.75444143746615366</v>
      </c>
      <c r="AG30" s="13">
        <f t="shared" si="31"/>
        <v>38.662355919939614</v>
      </c>
      <c r="AH30" s="1132">
        <f t="shared" si="39"/>
        <v>1</v>
      </c>
      <c r="AI30" s="1132">
        <f t="shared" si="40"/>
        <v>1</v>
      </c>
      <c r="AJ30" s="187">
        <f t="shared" si="41"/>
        <v>0.75444143746615366</v>
      </c>
      <c r="AK30" s="1136">
        <f t="shared" si="32"/>
        <v>6.5731451510372588E-2</v>
      </c>
      <c r="AR30" s="1132">
        <v>9</v>
      </c>
      <c r="AS30" s="44">
        <v>45</v>
      </c>
      <c r="AT30" s="1135">
        <f t="shared" si="19"/>
        <v>4.5951283116524487E-2</v>
      </c>
      <c r="AU30" s="1135">
        <f t="shared" si="6"/>
        <v>3.3084697633980739E-2</v>
      </c>
      <c r="AV30" s="1132">
        <f t="shared" si="20"/>
        <v>8.5</v>
      </c>
      <c r="AW30" s="1133">
        <f t="shared" si="42"/>
        <v>-52.5</v>
      </c>
      <c r="AX30" s="186">
        <f t="shared" si="33"/>
        <v>-13.627728336645527</v>
      </c>
      <c r="AY30" s="40">
        <f t="shared" si="34"/>
        <v>0.75444143746615366</v>
      </c>
      <c r="AZ30" s="13">
        <f t="shared" si="35"/>
        <v>38.662355919939614</v>
      </c>
      <c r="BA30" s="1132">
        <f t="shared" si="43"/>
        <v>1</v>
      </c>
      <c r="BB30" s="1132">
        <f t="shared" si="44"/>
        <v>1</v>
      </c>
      <c r="BC30" s="187">
        <f t="shared" si="45"/>
        <v>0.75444143746615366</v>
      </c>
      <c r="BD30" s="1136">
        <f t="shared" si="36"/>
        <v>6.5731451510372588E-2</v>
      </c>
      <c r="BG30" s="1132"/>
      <c r="BH30" s="1132"/>
      <c r="BI30" s="1132"/>
    </row>
    <row r="31" spans="1:61" x14ac:dyDescent="0.2">
      <c r="A31" s="1135">
        <v>6.9760469375777054E-2</v>
      </c>
      <c r="B31" s="1135">
        <v>3.649934163218449E-2</v>
      </c>
      <c r="C31" s="1135"/>
      <c r="D31" s="1135">
        <v>5.4163455300880924E-2</v>
      </c>
      <c r="E31" s="187">
        <v>4.5020944144010366E-2</v>
      </c>
      <c r="F31" s="187"/>
      <c r="G31" s="187">
        <v>6.2786229704092325E-2</v>
      </c>
      <c r="H31" s="187">
        <v>3.8327916036820342E-2</v>
      </c>
      <c r="I31" s="187"/>
      <c r="J31" s="187">
        <v>5.7172908039949601E-2</v>
      </c>
      <c r="K31" s="187">
        <v>4.0829611413485727E-2</v>
      </c>
      <c r="L31" s="187"/>
      <c r="M31" s="187">
        <v>6.5329742935454987E-2</v>
      </c>
      <c r="N31" s="187">
        <v>3.6131913671193019E-2</v>
      </c>
      <c r="O31" s="187"/>
      <c r="P31" s="187">
        <v>5.5367509886438099E-2</v>
      </c>
      <c r="Q31" s="187">
        <v>4.4898850335431728E-2</v>
      </c>
      <c r="R31" s="187"/>
      <c r="S31" s="187">
        <v>5.4804906997078753E-2</v>
      </c>
      <c r="T31" s="187">
        <v>4.5330541223371414E-2</v>
      </c>
      <c r="U31" s="187"/>
      <c r="V31" s="1138">
        <f t="shared" si="26"/>
        <v>6.2786229704092325E-2</v>
      </c>
      <c r="W31" s="1138">
        <f t="shared" si="27"/>
        <v>3.8327916036820342E-2</v>
      </c>
      <c r="Y31" s="1132">
        <v>10</v>
      </c>
      <c r="Z31" s="44">
        <v>45</v>
      </c>
      <c r="AA31" s="1135">
        <f t="shared" si="37"/>
        <v>6.2786229704092325E-2</v>
      </c>
      <c r="AB31" s="1135">
        <f t="shared" si="28"/>
        <v>3.8327916036820342E-2</v>
      </c>
      <c r="AC31" s="1132">
        <f t="shared" si="12"/>
        <v>9.5</v>
      </c>
      <c r="AD31" s="1133">
        <f t="shared" si="38"/>
        <v>-37.5</v>
      </c>
      <c r="AE31" s="186">
        <f t="shared" si="29"/>
        <v>-13.627728336645527</v>
      </c>
      <c r="AF31" s="40">
        <f t="shared" si="30"/>
        <v>0.86235315201789864</v>
      </c>
      <c r="AG31" s="13">
        <f t="shared" si="31"/>
        <v>50.82459766824514</v>
      </c>
      <c r="AH31" s="1132">
        <f t="shared" si="39"/>
        <v>1</v>
      </c>
      <c r="AI31" s="1132">
        <f t="shared" si="40"/>
        <v>1</v>
      </c>
      <c r="AJ31" s="187">
        <f t="shared" si="41"/>
        <v>0.86235315201789864</v>
      </c>
      <c r="AK31" s="1136">
        <f t="shared" si="32"/>
        <v>9.0354225488623902E-2</v>
      </c>
      <c r="AR31" s="1132">
        <v>10</v>
      </c>
      <c r="AS31" s="44">
        <v>45</v>
      </c>
      <c r="AT31" s="1135">
        <f t="shared" si="19"/>
        <v>6.2786229704092325E-2</v>
      </c>
      <c r="AU31" s="1135">
        <f t="shared" si="6"/>
        <v>3.8327916036820342E-2</v>
      </c>
      <c r="AV31" s="1132">
        <f t="shared" si="20"/>
        <v>9.5</v>
      </c>
      <c r="AW31" s="1133">
        <f t="shared" si="42"/>
        <v>-37.5</v>
      </c>
      <c r="AX31" s="186">
        <f t="shared" si="33"/>
        <v>-13.627728336645527</v>
      </c>
      <c r="AY31" s="40">
        <f t="shared" si="34"/>
        <v>0.86235315201789864</v>
      </c>
      <c r="AZ31" s="13">
        <f t="shared" si="35"/>
        <v>50.82459766824514</v>
      </c>
      <c r="BA31" s="1132">
        <f t="shared" si="43"/>
        <v>1</v>
      </c>
      <c r="BB31" s="1132">
        <f t="shared" si="44"/>
        <v>1</v>
      </c>
      <c r="BC31" s="187">
        <f t="shared" si="45"/>
        <v>0.86235315201789864</v>
      </c>
      <c r="BD31" s="1136">
        <f t="shared" si="36"/>
        <v>9.0354225488623902E-2</v>
      </c>
      <c r="BG31" s="1132"/>
      <c r="BH31" s="1132"/>
      <c r="BI31" s="1132"/>
    </row>
    <row r="32" spans="1:61" x14ac:dyDescent="0.2">
      <c r="A32" s="1135">
        <v>8.4011293216385896E-2</v>
      </c>
      <c r="B32" s="1135">
        <v>3.9672065327610445E-2</v>
      </c>
      <c r="C32" s="1135"/>
      <c r="D32" s="1135">
        <v>7.0005294746449828E-2</v>
      </c>
      <c r="E32" s="187">
        <v>5.1287655442702557E-2</v>
      </c>
      <c r="F32" s="187"/>
      <c r="G32" s="187">
        <v>7.8085878105458001E-2</v>
      </c>
      <c r="H32" s="187">
        <v>4.0450352468567985E-2</v>
      </c>
      <c r="I32" s="187"/>
      <c r="J32" s="187">
        <v>6.5011542472077993E-2</v>
      </c>
      <c r="K32" s="187">
        <v>4.7077012096992908E-2</v>
      </c>
      <c r="L32" s="187"/>
      <c r="M32" s="187">
        <v>8.1310961139594878E-2</v>
      </c>
      <c r="N32" s="187">
        <v>3.7780502496462171E-2</v>
      </c>
      <c r="O32" s="187"/>
      <c r="P32" s="187">
        <v>6.1809606622965189E-2</v>
      </c>
      <c r="Q32" s="187">
        <v>5.0890747268685387E-2</v>
      </c>
      <c r="R32" s="187"/>
      <c r="S32" s="187">
        <v>5.8747927280381695E-2</v>
      </c>
      <c r="T32" s="187">
        <v>5.2024450882488055E-2</v>
      </c>
      <c r="U32" s="187"/>
      <c r="V32" s="1138">
        <f t="shared" si="26"/>
        <v>7.8085878105458001E-2</v>
      </c>
      <c r="W32" s="1138">
        <f t="shared" si="27"/>
        <v>4.0450352468567985E-2</v>
      </c>
      <c r="Y32" s="1132">
        <v>11</v>
      </c>
      <c r="Z32" s="44">
        <v>45</v>
      </c>
      <c r="AA32" s="1135">
        <f t="shared" si="37"/>
        <v>7.8085878105458001E-2</v>
      </c>
      <c r="AB32" s="1135">
        <f t="shared" si="28"/>
        <v>4.0450352468567985E-2</v>
      </c>
      <c r="AC32" s="1132">
        <f t="shared" si="12"/>
        <v>10.5</v>
      </c>
      <c r="AD32" s="1133">
        <f t="shared" si="38"/>
        <v>-22.5</v>
      </c>
      <c r="AE32" s="186">
        <f t="shared" si="29"/>
        <v>-13.627728336645527</v>
      </c>
      <c r="AF32" s="40">
        <f t="shared" si="30"/>
        <v>0.92819694480347215</v>
      </c>
      <c r="AG32" s="13">
        <f t="shared" si="31"/>
        <v>61.838279323385727</v>
      </c>
      <c r="AH32" s="1132">
        <f t="shared" si="39"/>
        <v>1</v>
      </c>
      <c r="AI32" s="1132">
        <f t="shared" si="40"/>
        <v>1</v>
      </c>
      <c r="AJ32" s="187">
        <f t="shared" si="41"/>
        <v>0.92819694480347215</v>
      </c>
      <c r="AK32" s="1136">
        <f t="shared" si="32"/>
        <v>0.11097113127057853</v>
      </c>
      <c r="AR32" s="1132">
        <v>11</v>
      </c>
      <c r="AS32" s="44">
        <v>45</v>
      </c>
      <c r="AT32" s="1135">
        <f t="shared" si="19"/>
        <v>7.8085878105458001E-2</v>
      </c>
      <c r="AU32" s="1135">
        <f t="shared" si="6"/>
        <v>4.0450352468567985E-2</v>
      </c>
      <c r="AV32" s="1132">
        <f t="shared" si="20"/>
        <v>10.5</v>
      </c>
      <c r="AW32" s="1133">
        <f t="shared" si="42"/>
        <v>-22.5</v>
      </c>
      <c r="AX32" s="186">
        <f t="shared" si="33"/>
        <v>-13.627728336645527</v>
      </c>
      <c r="AY32" s="40">
        <f t="shared" si="34"/>
        <v>0.92819694480347215</v>
      </c>
      <c r="AZ32" s="13">
        <f t="shared" si="35"/>
        <v>61.838279323385727</v>
      </c>
      <c r="BA32" s="1132">
        <f t="shared" si="43"/>
        <v>1</v>
      </c>
      <c r="BB32" s="1132">
        <f t="shared" si="44"/>
        <v>1</v>
      </c>
      <c r="BC32" s="187">
        <f t="shared" si="45"/>
        <v>0.92819694480347215</v>
      </c>
      <c r="BD32" s="1136">
        <f t="shared" si="36"/>
        <v>0.11097113127057853</v>
      </c>
      <c r="BG32" s="1132"/>
      <c r="BH32" s="1132"/>
      <c r="BI32" s="1132"/>
    </row>
    <row r="33" spans="1:61" x14ac:dyDescent="0.2">
      <c r="A33" s="1135">
        <v>9.1046360231660156E-2</v>
      </c>
      <c r="B33" s="1135">
        <v>3.9714673405091924E-2</v>
      </c>
      <c r="C33" s="1135"/>
      <c r="D33" s="1135">
        <v>7.6391910975853267E-2</v>
      </c>
      <c r="E33" s="187">
        <v>5.1745212658296652E-2</v>
      </c>
      <c r="F33" s="187"/>
      <c r="G33" s="187">
        <v>8.347998491363183E-2</v>
      </c>
      <c r="H33" s="187">
        <v>4.4232514072061427E-2</v>
      </c>
      <c r="I33" s="187"/>
      <c r="J33" s="187">
        <v>6.9908805429482357E-2</v>
      </c>
      <c r="K33" s="187">
        <v>5.0820027846590635E-2</v>
      </c>
      <c r="L33" s="187"/>
      <c r="M33" s="187">
        <v>8.2381846364570632E-2</v>
      </c>
      <c r="N33" s="187">
        <v>4.2990502721267532E-2</v>
      </c>
      <c r="O33" s="187"/>
      <c r="P33" s="187">
        <v>7.6838810369463453E-2</v>
      </c>
      <c r="Q33" s="187">
        <v>5.2216111263524018E-2</v>
      </c>
      <c r="R33" s="187"/>
      <c r="S33" s="187">
        <v>6.218949567402652E-2</v>
      </c>
      <c r="T33" s="187">
        <v>5.4237225612560017E-2</v>
      </c>
      <c r="U33" s="187"/>
      <c r="V33" s="1138">
        <f t="shared" si="26"/>
        <v>8.347998491363183E-2</v>
      </c>
      <c r="W33" s="1138">
        <f t="shared" si="27"/>
        <v>4.4232514072061427E-2</v>
      </c>
      <c r="Y33" s="1132">
        <v>12</v>
      </c>
      <c r="Z33" s="44">
        <v>45</v>
      </c>
      <c r="AA33" s="1135">
        <f t="shared" si="37"/>
        <v>8.347998491363183E-2</v>
      </c>
      <c r="AB33" s="1135">
        <f t="shared" si="28"/>
        <v>4.4232514072061427E-2</v>
      </c>
      <c r="AC33" s="1132">
        <f t="shared" si="12"/>
        <v>11.5</v>
      </c>
      <c r="AD33" s="1133">
        <f t="shared" si="38"/>
        <v>-7.5</v>
      </c>
      <c r="AE33" s="186">
        <f t="shared" si="29"/>
        <v>-13.627728336645527</v>
      </c>
      <c r="AF33" s="40">
        <f t="shared" si="30"/>
        <v>0.97207515955227641</v>
      </c>
      <c r="AG33" s="13">
        <f t="shared" si="31"/>
        <v>69.50336388066826</v>
      </c>
      <c r="AH33" s="1132">
        <f t="shared" si="39"/>
        <v>1</v>
      </c>
      <c r="AI33" s="1132">
        <f t="shared" si="40"/>
        <v>1</v>
      </c>
      <c r="AJ33" s="187">
        <f t="shared" si="41"/>
        <v>0.97207515955227641</v>
      </c>
      <c r="AK33" s="1136">
        <f t="shared" si="32"/>
        <v>0.12319532624991353</v>
      </c>
      <c r="AR33" s="1132">
        <v>12</v>
      </c>
      <c r="AS33" s="44">
        <v>45</v>
      </c>
      <c r="AT33" s="1135">
        <f t="shared" si="19"/>
        <v>8.347998491363183E-2</v>
      </c>
      <c r="AU33" s="1135">
        <f t="shared" si="6"/>
        <v>4.4232514072061427E-2</v>
      </c>
      <c r="AV33" s="1132">
        <f t="shared" si="20"/>
        <v>11.5</v>
      </c>
      <c r="AW33" s="1133">
        <f t="shared" si="42"/>
        <v>-7.5</v>
      </c>
      <c r="AX33" s="186">
        <f t="shared" si="33"/>
        <v>-13.627728336645527</v>
      </c>
      <c r="AY33" s="40">
        <f t="shared" si="34"/>
        <v>0.97207515955227641</v>
      </c>
      <c r="AZ33" s="13">
        <f t="shared" si="35"/>
        <v>69.50336388066826</v>
      </c>
      <c r="BA33" s="1132">
        <f t="shared" si="43"/>
        <v>1</v>
      </c>
      <c r="BB33" s="1132">
        <f t="shared" si="44"/>
        <v>1</v>
      </c>
      <c r="BC33" s="187">
        <f t="shared" si="45"/>
        <v>0.97207515955227641</v>
      </c>
      <c r="BD33" s="1136">
        <f t="shared" si="36"/>
        <v>0.12319532624991353</v>
      </c>
      <c r="BG33" s="1132"/>
      <c r="BH33" s="1132"/>
      <c r="BI33" s="1132"/>
    </row>
    <row r="34" spans="1:61" x14ac:dyDescent="0.2">
      <c r="A34" s="1135">
        <v>9.1046360231660156E-2</v>
      </c>
      <c r="B34" s="1135">
        <v>3.9714673405091924E-2</v>
      </c>
      <c r="C34" s="1135"/>
      <c r="D34" s="1135">
        <v>7.6391910975853267E-2</v>
      </c>
      <c r="E34" s="187">
        <v>5.1745212658296652E-2</v>
      </c>
      <c r="F34" s="187"/>
      <c r="G34" s="187">
        <v>8.347998491363183E-2</v>
      </c>
      <c r="H34" s="187">
        <v>4.4232514072061427E-2</v>
      </c>
      <c r="I34" s="187"/>
      <c r="J34" s="187">
        <v>6.9908805429482357E-2</v>
      </c>
      <c r="K34" s="187">
        <v>5.0820027846590635E-2</v>
      </c>
      <c r="L34" s="187"/>
      <c r="M34" s="187">
        <v>8.2381846364570632E-2</v>
      </c>
      <c r="N34" s="187">
        <v>4.2990502721267532E-2</v>
      </c>
      <c r="O34" s="187"/>
      <c r="P34" s="187">
        <v>7.6838810369463453E-2</v>
      </c>
      <c r="Q34" s="187">
        <v>5.2216111263524018E-2</v>
      </c>
      <c r="R34" s="187"/>
      <c r="S34" s="187">
        <v>6.218949567402652E-2</v>
      </c>
      <c r="T34" s="187">
        <v>5.4237225612560017E-2</v>
      </c>
      <c r="U34" s="187"/>
      <c r="V34" s="1138">
        <f t="shared" si="26"/>
        <v>8.347998491363183E-2</v>
      </c>
      <c r="W34" s="1138">
        <f t="shared" si="27"/>
        <v>4.4232514072061427E-2</v>
      </c>
      <c r="Y34" s="1132">
        <v>13</v>
      </c>
      <c r="Z34" s="44">
        <v>45</v>
      </c>
      <c r="AA34" s="1135">
        <f t="shared" si="37"/>
        <v>8.347998491363183E-2</v>
      </c>
      <c r="AB34" s="1135">
        <f t="shared" si="28"/>
        <v>4.4232514072061427E-2</v>
      </c>
      <c r="AC34" s="1132">
        <f t="shared" si="12"/>
        <v>12.5</v>
      </c>
      <c r="AD34" s="1133">
        <f t="shared" si="38"/>
        <v>7.5</v>
      </c>
      <c r="AE34" s="186">
        <f t="shared" si="29"/>
        <v>-13.627728336645527</v>
      </c>
      <c r="AF34" s="40">
        <f t="shared" si="30"/>
        <v>1.0023494705826359</v>
      </c>
      <c r="AG34" s="13">
        <f t="shared" si="31"/>
        <v>69.50336388066826</v>
      </c>
      <c r="AH34" s="1132">
        <f t="shared" si="39"/>
        <v>1</v>
      </c>
      <c r="AI34" s="1132">
        <f t="shared" si="40"/>
        <v>1</v>
      </c>
      <c r="AJ34" s="187">
        <f t="shared" si="41"/>
        <v>1.0023494705826359</v>
      </c>
      <c r="AK34" s="1136">
        <f t="shared" si="32"/>
        <v>0.12572262527799855</v>
      </c>
      <c r="AR34" s="1132">
        <v>13</v>
      </c>
      <c r="AS34" s="44">
        <v>45</v>
      </c>
      <c r="AT34" s="1135">
        <f t="shared" si="19"/>
        <v>8.347998491363183E-2</v>
      </c>
      <c r="AU34" s="1135">
        <f t="shared" si="6"/>
        <v>4.4232514072061427E-2</v>
      </c>
      <c r="AV34" s="1132">
        <f t="shared" si="20"/>
        <v>12.5</v>
      </c>
      <c r="AW34" s="1133">
        <f t="shared" si="42"/>
        <v>7.5</v>
      </c>
      <c r="AX34" s="186">
        <f t="shared" si="33"/>
        <v>-13.627728336645527</v>
      </c>
      <c r="AY34" s="40">
        <f t="shared" si="34"/>
        <v>1.0023494705826359</v>
      </c>
      <c r="AZ34" s="13">
        <f t="shared" si="35"/>
        <v>69.50336388066826</v>
      </c>
      <c r="BA34" s="1132">
        <f t="shared" si="43"/>
        <v>1</v>
      </c>
      <c r="BB34" s="1132">
        <f t="shared" si="44"/>
        <v>1</v>
      </c>
      <c r="BC34" s="187">
        <f t="shared" si="45"/>
        <v>1.0023494705826359</v>
      </c>
      <c r="BD34" s="1136">
        <f t="shared" si="36"/>
        <v>0.12572262527799855</v>
      </c>
      <c r="BG34" s="1132"/>
      <c r="BH34" s="1132"/>
      <c r="BI34" s="1132"/>
    </row>
    <row r="35" spans="1:61" x14ac:dyDescent="0.2">
      <c r="A35" s="1135">
        <v>8.4011293216385896E-2</v>
      </c>
      <c r="B35" s="1135">
        <v>3.9672065327610445E-2</v>
      </c>
      <c r="C35" s="1135"/>
      <c r="D35" s="1135">
        <v>7.0005294746449828E-2</v>
      </c>
      <c r="E35" s="187">
        <v>5.1287655442702557E-2</v>
      </c>
      <c r="F35" s="187"/>
      <c r="G35" s="187">
        <v>7.8085878105458001E-2</v>
      </c>
      <c r="H35" s="187">
        <v>4.0450352468567985E-2</v>
      </c>
      <c r="I35" s="187"/>
      <c r="J35" s="187">
        <v>6.5011542472077993E-2</v>
      </c>
      <c r="K35" s="187">
        <v>4.7077012096992908E-2</v>
      </c>
      <c r="L35" s="187"/>
      <c r="M35" s="187">
        <v>8.1310961139594878E-2</v>
      </c>
      <c r="N35" s="187">
        <v>3.7780502496462171E-2</v>
      </c>
      <c r="O35" s="187"/>
      <c r="P35" s="187">
        <v>6.1809606622965189E-2</v>
      </c>
      <c r="Q35" s="187">
        <v>5.0890747268685387E-2</v>
      </c>
      <c r="R35" s="187"/>
      <c r="S35" s="187">
        <v>5.8747927280381695E-2</v>
      </c>
      <c r="T35" s="187">
        <v>5.2024450882488055E-2</v>
      </c>
      <c r="U35" s="187"/>
      <c r="V35" s="1138">
        <f t="shared" si="26"/>
        <v>7.8085878105458001E-2</v>
      </c>
      <c r="W35" s="1138">
        <f t="shared" si="27"/>
        <v>4.0450352468567985E-2</v>
      </c>
      <c r="Y35" s="1132">
        <v>14</v>
      </c>
      <c r="Z35" s="44">
        <v>45</v>
      </c>
      <c r="AA35" s="1135">
        <f t="shared" si="37"/>
        <v>7.8085878105458001E-2</v>
      </c>
      <c r="AB35" s="1135">
        <f t="shared" si="28"/>
        <v>4.0450352468567985E-2</v>
      </c>
      <c r="AC35" s="1132">
        <f t="shared" si="12"/>
        <v>13.5</v>
      </c>
      <c r="AD35" s="1133">
        <f t="shared" si="38"/>
        <v>22.5</v>
      </c>
      <c r="AE35" s="186">
        <f t="shared" si="29"/>
        <v>-13.627728336645527</v>
      </c>
      <c r="AF35" s="40">
        <f t="shared" si="30"/>
        <v>1.0225024042722519</v>
      </c>
      <c r="AG35" s="13">
        <f t="shared" si="31"/>
        <v>61.838279323385727</v>
      </c>
      <c r="AH35" s="1132">
        <f t="shared" si="39"/>
        <v>1</v>
      </c>
      <c r="AI35" s="1132">
        <f t="shared" si="40"/>
        <v>1</v>
      </c>
      <c r="AJ35" s="187">
        <f t="shared" si="41"/>
        <v>1.0225024042722519</v>
      </c>
      <c r="AK35" s="1136">
        <f t="shared" si="32"/>
        <v>0.1183350558833369</v>
      </c>
      <c r="AR35" s="1132">
        <v>14</v>
      </c>
      <c r="AS35" s="44">
        <v>45</v>
      </c>
      <c r="AT35" s="1135">
        <f t="shared" si="19"/>
        <v>7.8085878105458001E-2</v>
      </c>
      <c r="AU35" s="1135">
        <f t="shared" si="6"/>
        <v>4.0450352468567985E-2</v>
      </c>
      <c r="AV35" s="1132">
        <f t="shared" si="20"/>
        <v>13.5</v>
      </c>
      <c r="AW35" s="1133">
        <f t="shared" si="42"/>
        <v>22.5</v>
      </c>
      <c r="AX35" s="186">
        <f t="shared" si="33"/>
        <v>-13.627728336645527</v>
      </c>
      <c r="AY35" s="40">
        <f t="shared" si="34"/>
        <v>1.0225024042722519</v>
      </c>
      <c r="AZ35" s="13">
        <f t="shared" si="35"/>
        <v>61.838279323385727</v>
      </c>
      <c r="BA35" s="1132">
        <f t="shared" si="43"/>
        <v>1</v>
      </c>
      <c r="BB35" s="1132">
        <f t="shared" si="44"/>
        <v>1</v>
      </c>
      <c r="BC35" s="187">
        <f t="shared" si="45"/>
        <v>1.0225024042722519</v>
      </c>
      <c r="BD35" s="1136">
        <f t="shared" si="36"/>
        <v>0.1183350558833369</v>
      </c>
      <c r="BG35" s="1132"/>
      <c r="BH35" s="1132"/>
      <c r="BI35" s="1132"/>
    </row>
    <row r="36" spans="1:61" x14ac:dyDescent="0.2">
      <c r="A36" s="1135">
        <v>6.9760469375777054E-2</v>
      </c>
      <c r="B36" s="1135">
        <v>3.649934163218449E-2</v>
      </c>
      <c r="C36" s="1135"/>
      <c r="D36" s="1135">
        <v>5.4163455300880924E-2</v>
      </c>
      <c r="E36" s="187">
        <v>4.5020944144010366E-2</v>
      </c>
      <c r="F36" s="187"/>
      <c r="G36" s="187">
        <v>6.2786229704092325E-2</v>
      </c>
      <c r="H36" s="187">
        <v>3.8327916036820342E-2</v>
      </c>
      <c r="I36" s="187"/>
      <c r="J36" s="187">
        <v>5.7172908039949601E-2</v>
      </c>
      <c r="K36" s="187">
        <v>4.0829611413485727E-2</v>
      </c>
      <c r="L36" s="187"/>
      <c r="M36" s="187">
        <v>6.5329742935454987E-2</v>
      </c>
      <c r="N36" s="187">
        <v>3.6131913671193019E-2</v>
      </c>
      <c r="O36" s="187"/>
      <c r="P36" s="187">
        <v>5.5367509886438099E-2</v>
      </c>
      <c r="Q36" s="187">
        <v>4.4898850335431728E-2</v>
      </c>
      <c r="R36" s="187"/>
      <c r="S36" s="187">
        <v>5.4804906997078753E-2</v>
      </c>
      <c r="T36" s="187">
        <v>4.5330541223371414E-2</v>
      </c>
      <c r="U36" s="187"/>
      <c r="V36" s="1138">
        <f t="shared" si="26"/>
        <v>6.2786229704092325E-2</v>
      </c>
      <c r="W36" s="1138">
        <f t="shared" si="27"/>
        <v>3.8327916036820342E-2</v>
      </c>
      <c r="Y36" s="1132">
        <v>15</v>
      </c>
      <c r="Z36" s="44">
        <v>45</v>
      </c>
      <c r="AA36" s="1135">
        <f t="shared" si="37"/>
        <v>6.2786229704092325E-2</v>
      </c>
      <c r="AB36" s="1135">
        <f t="shared" si="28"/>
        <v>3.8327916036820342E-2</v>
      </c>
      <c r="AC36" s="1132">
        <f t="shared" si="12"/>
        <v>14.5</v>
      </c>
      <c r="AD36" s="1133">
        <f t="shared" si="38"/>
        <v>37.5</v>
      </c>
      <c r="AE36" s="186">
        <f t="shared" si="29"/>
        <v>-13.627728336645527</v>
      </c>
      <c r="AF36" s="40">
        <f t="shared" si="30"/>
        <v>1.0329644239309963</v>
      </c>
      <c r="AG36" s="13">
        <f t="shared" si="31"/>
        <v>50.82459766824514</v>
      </c>
      <c r="AH36" s="1132">
        <f t="shared" si="39"/>
        <v>1</v>
      </c>
      <c r="AI36" s="1132">
        <f t="shared" si="40"/>
        <v>1</v>
      </c>
      <c r="AJ36" s="187">
        <f t="shared" si="41"/>
        <v>1.0329644239309963</v>
      </c>
      <c r="AK36" s="1136">
        <f t="shared" si="32"/>
        <v>0.10106626399706702</v>
      </c>
      <c r="AR36" s="1132">
        <v>15</v>
      </c>
      <c r="AS36" s="44">
        <v>45</v>
      </c>
      <c r="AT36" s="1135">
        <f t="shared" si="19"/>
        <v>6.2786229704092325E-2</v>
      </c>
      <c r="AU36" s="1135">
        <f t="shared" si="6"/>
        <v>3.8327916036820342E-2</v>
      </c>
      <c r="AV36" s="1132">
        <f t="shared" si="20"/>
        <v>14.5</v>
      </c>
      <c r="AW36" s="1133">
        <f t="shared" si="42"/>
        <v>37.5</v>
      </c>
      <c r="AX36" s="186">
        <f t="shared" si="33"/>
        <v>-13.627728336645527</v>
      </c>
      <c r="AY36" s="40">
        <f t="shared" si="34"/>
        <v>1.0329644239309963</v>
      </c>
      <c r="AZ36" s="13">
        <f t="shared" si="35"/>
        <v>50.82459766824514</v>
      </c>
      <c r="BA36" s="1132">
        <f t="shared" si="43"/>
        <v>1</v>
      </c>
      <c r="BB36" s="1132">
        <f t="shared" si="44"/>
        <v>1</v>
      </c>
      <c r="BC36" s="187">
        <f t="shared" si="45"/>
        <v>1.0329644239309963</v>
      </c>
      <c r="BD36" s="1136">
        <f t="shared" si="36"/>
        <v>0.10106626399706702</v>
      </c>
      <c r="BG36" s="1132"/>
      <c r="BH36" s="1132"/>
      <c r="BI36" s="1132"/>
    </row>
    <row r="37" spans="1:61" x14ac:dyDescent="0.2">
      <c r="A37" s="1135">
        <v>4.7860956515997879E-2</v>
      </c>
      <c r="B37" s="1135">
        <v>3.0801505761998148E-2</v>
      </c>
      <c r="C37" s="1135"/>
      <c r="D37" s="1135">
        <v>4.2914556723065683E-2</v>
      </c>
      <c r="E37" s="187">
        <v>3.6832118705543759E-2</v>
      </c>
      <c r="F37" s="187"/>
      <c r="G37" s="187">
        <v>4.5951283116524487E-2</v>
      </c>
      <c r="H37" s="187">
        <v>3.3084697633980739E-2</v>
      </c>
      <c r="I37" s="187"/>
      <c r="J37" s="187">
        <v>4.3605229372728455E-2</v>
      </c>
      <c r="K37" s="187">
        <v>3.189399007889869E-2</v>
      </c>
      <c r="L37" s="187"/>
      <c r="M37" s="187">
        <v>5.3619004947553894E-2</v>
      </c>
      <c r="N37" s="187">
        <v>2.7373914965762271E-2</v>
      </c>
      <c r="O37" s="187"/>
      <c r="P37" s="187">
        <v>4.2775037810572306E-2</v>
      </c>
      <c r="Q37" s="187">
        <v>3.7136436687062353E-2</v>
      </c>
      <c r="R37" s="187"/>
      <c r="S37" s="187">
        <v>4.2864675209368194E-2</v>
      </c>
      <c r="T37" s="187">
        <v>3.7922299155402031E-2</v>
      </c>
      <c r="U37" s="187"/>
      <c r="V37" s="1138">
        <f t="shared" si="26"/>
        <v>4.5951283116524487E-2</v>
      </c>
      <c r="W37" s="1138">
        <f t="shared" si="27"/>
        <v>3.3084697633980739E-2</v>
      </c>
      <c r="Y37" s="1132">
        <v>16</v>
      </c>
      <c r="Z37" s="44">
        <v>45</v>
      </c>
      <c r="AA37" s="1135">
        <f t="shared" si="37"/>
        <v>4.5951283116524487E-2</v>
      </c>
      <c r="AB37" s="1135">
        <f t="shared" si="28"/>
        <v>3.3084697633980739E-2</v>
      </c>
      <c r="AC37" s="1132">
        <f t="shared" si="12"/>
        <v>15.5</v>
      </c>
      <c r="AD37" s="1133">
        <f t="shared" si="38"/>
        <v>52.5</v>
      </c>
      <c r="AE37" s="186">
        <f t="shared" si="29"/>
        <v>-13.627728336645527</v>
      </c>
      <c r="AF37" s="40">
        <f t="shared" si="30"/>
        <v>1.0303474093819311</v>
      </c>
      <c r="AG37" s="13">
        <f t="shared" si="31"/>
        <v>38.662355919939614</v>
      </c>
      <c r="AH37" s="1132">
        <f t="shared" si="39"/>
        <v>1</v>
      </c>
      <c r="AI37" s="1132">
        <f t="shared" si="40"/>
        <v>1</v>
      </c>
      <c r="AJ37" s="187">
        <f t="shared" si="41"/>
        <v>1.0303474093819311</v>
      </c>
      <c r="AK37" s="1136">
        <f t="shared" si="32"/>
        <v>7.8409684939414331E-2</v>
      </c>
      <c r="AR37" s="1132">
        <v>16</v>
      </c>
      <c r="AS37" s="44">
        <v>45</v>
      </c>
      <c r="AT37" s="1135">
        <f t="shared" si="19"/>
        <v>4.5951283116524487E-2</v>
      </c>
      <c r="AU37" s="1135">
        <f t="shared" si="6"/>
        <v>3.3084697633980739E-2</v>
      </c>
      <c r="AV37" s="1132">
        <f t="shared" si="20"/>
        <v>15.5</v>
      </c>
      <c r="AW37" s="1133">
        <f t="shared" si="42"/>
        <v>52.5</v>
      </c>
      <c r="AX37" s="186">
        <f t="shared" si="33"/>
        <v>-13.627728336645527</v>
      </c>
      <c r="AY37" s="40">
        <f t="shared" si="34"/>
        <v>1.0303474093819311</v>
      </c>
      <c r="AZ37" s="13">
        <f t="shared" si="35"/>
        <v>38.662355919939614</v>
      </c>
      <c r="BA37" s="1132">
        <f t="shared" si="43"/>
        <v>1</v>
      </c>
      <c r="BB37" s="1132">
        <f t="shared" si="44"/>
        <v>1</v>
      </c>
      <c r="BC37" s="187">
        <f t="shared" si="45"/>
        <v>1.0303474093819311</v>
      </c>
      <c r="BD37" s="1136">
        <f t="shared" si="36"/>
        <v>7.8409684939414331E-2</v>
      </c>
      <c r="BG37" s="1132"/>
      <c r="BH37" s="1132"/>
      <c r="BI37" s="1132"/>
    </row>
    <row r="38" spans="1:61" x14ac:dyDescent="0.2">
      <c r="A38" s="1135">
        <v>2.4163241217638871E-2</v>
      </c>
      <c r="B38" s="1135">
        <v>2.1832366878180926E-2</v>
      </c>
      <c r="C38" s="1135"/>
      <c r="D38" s="1135">
        <v>2.2646479721898462E-2</v>
      </c>
      <c r="E38" s="187">
        <v>2.7064435735126673E-2</v>
      </c>
      <c r="F38" s="187"/>
      <c r="G38" s="187">
        <v>3.0217820025452126E-2</v>
      </c>
      <c r="H38" s="187">
        <v>2.1406648673466359E-2</v>
      </c>
      <c r="I38" s="187"/>
      <c r="J38" s="187">
        <v>2.9040015912337496E-2</v>
      </c>
      <c r="K38" s="187">
        <v>2.1394258298223744E-2</v>
      </c>
      <c r="L38" s="187"/>
      <c r="M38" s="187">
        <v>2.8628858633105422E-2</v>
      </c>
      <c r="N38" s="187">
        <v>2.1879492400576746E-2</v>
      </c>
      <c r="O38" s="187"/>
      <c r="P38" s="187">
        <v>2.6704154462206281E-2</v>
      </c>
      <c r="Q38" s="187">
        <v>2.7515629543851113E-2</v>
      </c>
      <c r="R38" s="187"/>
      <c r="S38" s="187">
        <v>2.8074186449587292E-2</v>
      </c>
      <c r="T38" s="187">
        <v>2.9436488943908871E-2</v>
      </c>
      <c r="U38" s="187"/>
      <c r="V38" s="1138">
        <f t="shared" si="26"/>
        <v>3.0217820025452126E-2</v>
      </c>
      <c r="W38" s="1138">
        <f t="shared" si="27"/>
        <v>2.1406648673466359E-2</v>
      </c>
      <c r="Y38" s="1132">
        <v>17</v>
      </c>
      <c r="Z38" s="44">
        <v>45</v>
      </c>
      <c r="AA38" s="1135">
        <f t="shared" si="37"/>
        <v>3.0217820025452126E-2</v>
      </c>
      <c r="AB38" s="1135">
        <f t="shared" si="28"/>
        <v>2.1406648673466359E-2</v>
      </c>
      <c r="AC38" s="1132">
        <f t="shared" si="12"/>
        <v>16.5</v>
      </c>
      <c r="AD38" s="1133">
        <f t="shared" si="38"/>
        <v>67.5</v>
      </c>
      <c r="AE38" s="186">
        <f t="shared" si="29"/>
        <v>-13.627728336645527</v>
      </c>
      <c r="AF38" s="40">
        <f t="shared" si="30"/>
        <v>1.0011384281371207</v>
      </c>
      <c r="AG38" s="13">
        <f t="shared" si="31"/>
        <v>26.130346311552202</v>
      </c>
      <c r="AH38" s="1132">
        <f t="shared" si="39"/>
        <v>1</v>
      </c>
      <c r="AI38" s="1132">
        <f t="shared" si="40"/>
        <v>1</v>
      </c>
      <c r="AJ38" s="187">
        <f t="shared" si="41"/>
        <v>1.0011384281371207</v>
      </c>
      <c r="AK38" s="1136">
        <f t="shared" si="32"/>
        <v>5.0362733579929507E-2</v>
      </c>
      <c r="AR38" s="1132">
        <v>17</v>
      </c>
      <c r="AS38" s="44">
        <v>45</v>
      </c>
      <c r="AT38" s="1135">
        <f t="shared" si="19"/>
        <v>3.0217820025452126E-2</v>
      </c>
      <c r="AU38" s="1135">
        <f t="shared" si="6"/>
        <v>2.1406648673466359E-2</v>
      </c>
      <c r="AV38" s="1132">
        <f t="shared" si="20"/>
        <v>16.5</v>
      </c>
      <c r="AW38" s="1133">
        <f t="shared" si="42"/>
        <v>67.5</v>
      </c>
      <c r="AX38" s="186">
        <f t="shared" si="33"/>
        <v>-13.627728336645527</v>
      </c>
      <c r="AY38" s="40">
        <f t="shared" si="34"/>
        <v>1.0011384281371207</v>
      </c>
      <c r="AZ38" s="13">
        <f t="shared" si="35"/>
        <v>26.130346311552202</v>
      </c>
      <c r="BA38" s="1132">
        <f t="shared" si="43"/>
        <v>1</v>
      </c>
      <c r="BB38" s="1132">
        <f t="shared" si="44"/>
        <v>1</v>
      </c>
      <c r="BC38" s="187">
        <f t="shared" si="45"/>
        <v>1.0011384281371207</v>
      </c>
      <c r="BD38" s="1136">
        <f t="shared" si="36"/>
        <v>5.0362733579929507E-2</v>
      </c>
      <c r="BG38" s="1132"/>
      <c r="BH38" s="1132"/>
      <c r="BI38" s="1132"/>
    </row>
    <row r="39" spans="1:61" x14ac:dyDescent="0.2">
      <c r="A39" s="1135">
        <v>4.1660170525331958E-3</v>
      </c>
      <c r="B39" s="1135">
        <v>1.0131633803561069E-2</v>
      </c>
      <c r="C39" s="1135"/>
      <c r="D39" s="1135">
        <v>6.3060864095285506E-3</v>
      </c>
      <c r="E39" s="187">
        <v>1.4649180638713837E-2</v>
      </c>
      <c r="F39" s="187"/>
      <c r="G39" s="187">
        <v>7.8060384458731209E-3</v>
      </c>
      <c r="H39" s="187">
        <v>1.3287964780915554E-2</v>
      </c>
      <c r="I39" s="187"/>
      <c r="J39" s="187">
        <v>1.6035899197753001E-2</v>
      </c>
      <c r="K39" s="187">
        <v>1.1979458618881444E-2</v>
      </c>
      <c r="L39" s="187"/>
      <c r="M39" s="187">
        <v>7.2073454678568474E-3</v>
      </c>
      <c r="N39" s="187">
        <v>1.3833850873437113E-2</v>
      </c>
      <c r="O39" s="187"/>
      <c r="P39" s="187">
        <v>4.868958672600311E-3</v>
      </c>
      <c r="Q39" s="187">
        <v>1.7030982457212136E-2</v>
      </c>
      <c r="R39" s="187"/>
      <c r="S39" s="187">
        <v>7.5296770630558663E-3</v>
      </c>
      <c r="T39" s="187">
        <v>2.0543939413196488E-2</v>
      </c>
      <c r="U39" s="187"/>
      <c r="V39" s="1138">
        <f t="shared" si="26"/>
        <v>7.8060384458731209E-3</v>
      </c>
      <c r="W39" s="1138">
        <f t="shared" si="27"/>
        <v>1.3287964780915554E-2</v>
      </c>
      <c r="Y39" s="1132">
        <v>18</v>
      </c>
      <c r="Z39" s="44">
        <v>45</v>
      </c>
      <c r="AA39" s="1135">
        <f t="shared" si="37"/>
        <v>7.8060384458731209E-3</v>
      </c>
      <c r="AB39" s="1135">
        <f t="shared" si="28"/>
        <v>1.3287964780915554E-2</v>
      </c>
      <c r="AC39" s="1132">
        <f t="shared" si="12"/>
        <v>17.5</v>
      </c>
      <c r="AD39" s="1133">
        <f t="shared" si="38"/>
        <v>82.5</v>
      </c>
      <c r="AE39" s="186">
        <f t="shared" si="29"/>
        <v>-13.627728336645527</v>
      </c>
      <c r="AF39" s="40">
        <f t="shared" si="30"/>
        <v>0.87838954664729019</v>
      </c>
      <c r="AG39" s="13">
        <f t="shared" si="31"/>
        <v>13.581641086385119</v>
      </c>
      <c r="AH39" s="1132">
        <f t="shared" si="39"/>
        <v>1</v>
      </c>
      <c r="AI39" s="1132">
        <f t="shared" si="40"/>
        <v>1</v>
      </c>
      <c r="AJ39" s="187">
        <f t="shared" si="41"/>
        <v>0.87838954664729019</v>
      </c>
      <c r="AK39" s="1136">
        <f t="shared" si="32"/>
        <v>1.9083966557214598E-2</v>
      </c>
      <c r="AR39" s="1132">
        <v>18</v>
      </c>
      <c r="AS39" s="44">
        <v>45</v>
      </c>
      <c r="AT39" s="1135">
        <f t="shared" si="19"/>
        <v>7.8060384458731209E-3</v>
      </c>
      <c r="AU39" s="1135">
        <f t="shared" si="6"/>
        <v>1.3287964780915554E-2</v>
      </c>
      <c r="AV39" s="1132">
        <f t="shared" si="20"/>
        <v>17.5</v>
      </c>
      <c r="AW39" s="1133">
        <f t="shared" si="42"/>
        <v>82.5</v>
      </c>
      <c r="AX39" s="186">
        <f t="shared" si="33"/>
        <v>-13.627728336645527</v>
      </c>
      <c r="AY39" s="40">
        <f t="shared" si="34"/>
        <v>0.87838954664729019</v>
      </c>
      <c r="AZ39" s="13">
        <f t="shared" si="35"/>
        <v>13.581641086385119</v>
      </c>
      <c r="BA39" s="1132">
        <f t="shared" si="43"/>
        <v>1</v>
      </c>
      <c r="BB39" s="1132">
        <f t="shared" si="44"/>
        <v>1</v>
      </c>
      <c r="BC39" s="187">
        <f t="shared" si="45"/>
        <v>0.87838954664729019</v>
      </c>
      <c r="BD39" s="1136">
        <f t="shared" si="36"/>
        <v>1.9083966557214598E-2</v>
      </c>
      <c r="BG39" s="1132"/>
      <c r="BH39" s="1132"/>
      <c r="BI39" s="1132"/>
    </row>
    <row r="40" spans="1:61" x14ac:dyDescent="0.2">
      <c r="A40" s="1135">
        <v>0</v>
      </c>
      <c r="B40" s="1135">
        <v>3.2192769652668237E-4</v>
      </c>
      <c r="C40" s="1135"/>
      <c r="D40" s="1135">
        <v>0</v>
      </c>
      <c r="E40" s="187">
        <v>9.4005465677611435E-4</v>
      </c>
      <c r="F40" s="187"/>
      <c r="G40" s="187">
        <v>0</v>
      </c>
      <c r="H40" s="187">
        <v>8.4662748659759704E-4</v>
      </c>
      <c r="I40" s="187"/>
      <c r="J40" s="187">
        <v>6.9706887510623296E-3</v>
      </c>
      <c r="K40" s="187">
        <v>6.2715102857590597E-3</v>
      </c>
      <c r="L40" s="187"/>
      <c r="M40" s="187">
        <v>1.0175461141531947E-4</v>
      </c>
      <c r="N40" s="187">
        <v>1.430308771749209E-3</v>
      </c>
      <c r="O40" s="187"/>
      <c r="P40" s="187">
        <v>2.1500573564404139E-4</v>
      </c>
      <c r="Q40" s="187">
        <v>1.7321588843435445E-3</v>
      </c>
      <c r="R40" s="187"/>
      <c r="S40" s="187">
        <v>5.7823649490869149E-4</v>
      </c>
      <c r="T40" s="187">
        <v>5.5491931939636143E-3</v>
      </c>
      <c r="U40" s="187"/>
      <c r="V40" s="1138">
        <f t="shared" si="26"/>
        <v>0</v>
      </c>
      <c r="W40" s="1138">
        <f t="shared" si="27"/>
        <v>8.4662748659759704E-4</v>
      </c>
      <c r="Y40" s="1132">
        <v>19</v>
      </c>
      <c r="Z40" s="44">
        <v>45</v>
      </c>
      <c r="AA40" s="1135">
        <f t="shared" si="37"/>
        <v>0</v>
      </c>
      <c r="AB40" s="1135">
        <f t="shared" si="28"/>
        <v>8.4662748659759704E-4</v>
      </c>
      <c r="AC40" s="1132">
        <f t="shared" si="12"/>
        <v>18.5</v>
      </c>
      <c r="AD40" s="1133">
        <f t="shared" si="38"/>
        <v>97.5</v>
      </c>
      <c r="AE40" s="186">
        <f t="shared" si="29"/>
        <v>-13.627728336645527</v>
      </c>
      <c r="AF40" s="40">
        <f t="shared" si="30"/>
        <v>-2.0079241739999398</v>
      </c>
      <c r="AG40" s="13">
        <f t="shared" si="31"/>
        <v>1.2598731446530007</v>
      </c>
      <c r="AH40" s="1132">
        <f t="shared" si="39"/>
        <v>1</v>
      </c>
      <c r="AI40" s="1132">
        <f t="shared" si="40"/>
        <v>0</v>
      </c>
      <c r="AJ40" s="187">
        <f t="shared" si="41"/>
        <v>0</v>
      </c>
      <c r="AK40" s="1136">
        <f t="shared" si="32"/>
        <v>7.6740939769604053E-4</v>
      </c>
      <c r="AR40" s="1132">
        <v>19</v>
      </c>
      <c r="AS40" s="44">
        <v>45</v>
      </c>
      <c r="AT40" s="1135">
        <f t="shared" si="19"/>
        <v>0</v>
      </c>
      <c r="AU40" s="1135">
        <f t="shared" si="6"/>
        <v>8.4662748659759704E-4</v>
      </c>
      <c r="AV40" s="1132">
        <f t="shared" si="20"/>
        <v>18.5</v>
      </c>
      <c r="AW40" s="1133">
        <f t="shared" si="42"/>
        <v>97.5</v>
      </c>
      <c r="AX40" s="186">
        <f t="shared" si="33"/>
        <v>-13.627728336645527</v>
      </c>
      <c r="AY40" s="40">
        <f t="shared" si="34"/>
        <v>-2.0079241739999398</v>
      </c>
      <c r="AZ40" s="13">
        <f t="shared" si="35"/>
        <v>1.2598731446530007</v>
      </c>
      <c r="BA40" s="1132">
        <f t="shared" si="43"/>
        <v>1</v>
      </c>
      <c r="BB40" s="1132">
        <f t="shared" si="44"/>
        <v>0</v>
      </c>
      <c r="BC40" s="187">
        <f t="shared" si="45"/>
        <v>0</v>
      </c>
      <c r="BD40" s="1136">
        <f t="shared" si="36"/>
        <v>7.6740939769604053E-4</v>
      </c>
      <c r="BG40" s="1132"/>
      <c r="BH40" s="1132"/>
      <c r="BI40" s="1132"/>
    </row>
    <row r="41" spans="1:61" x14ac:dyDescent="0.2">
      <c r="A41" s="1135">
        <v>0</v>
      </c>
      <c r="B41" s="1135">
        <v>0</v>
      </c>
      <c r="C41" s="1135"/>
      <c r="D41" s="1135">
        <v>0</v>
      </c>
      <c r="E41" s="187">
        <v>0</v>
      </c>
      <c r="F41" s="187"/>
      <c r="G41" s="187">
        <v>0</v>
      </c>
      <c r="H41" s="187">
        <v>0</v>
      </c>
      <c r="I41" s="187"/>
      <c r="J41" s="187">
        <v>3.1945222983683914E-4</v>
      </c>
      <c r="K41" s="187">
        <v>1.6695899559397019E-3</v>
      </c>
      <c r="L41" s="187"/>
      <c r="M41" s="187">
        <v>0</v>
      </c>
      <c r="N41" s="187">
        <v>0</v>
      </c>
      <c r="O41" s="187"/>
      <c r="P41" s="187">
        <v>0</v>
      </c>
      <c r="Q41" s="187">
        <v>0</v>
      </c>
      <c r="R41" s="187"/>
      <c r="S41" s="187">
        <v>3.5480086532420419E-6</v>
      </c>
      <c r="T41" s="187">
        <v>1.6320839804913388E-4</v>
      </c>
      <c r="U41" s="187"/>
      <c r="V41" s="1138">
        <f t="shared" si="26"/>
        <v>0</v>
      </c>
      <c r="W41" s="1138">
        <f t="shared" si="27"/>
        <v>0</v>
      </c>
      <c r="Y41" s="1132">
        <v>20</v>
      </c>
      <c r="Z41" s="44">
        <v>45</v>
      </c>
      <c r="AA41" s="1135">
        <f t="shared" si="37"/>
        <v>0</v>
      </c>
      <c r="AB41" s="1135">
        <f t="shared" si="28"/>
        <v>0</v>
      </c>
      <c r="AC41" s="1132">
        <f t="shared" si="12"/>
        <v>19.5</v>
      </c>
      <c r="AD41" s="1133">
        <f t="shared" si="38"/>
        <v>112.5</v>
      </c>
      <c r="AE41" s="186">
        <f t="shared" si="29"/>
        <v>-13.627728336645527</v>
      </c>
      <c r="AF41" s="40">
        <f t="shared" si="30"/>
        <v>1.5991983974249986</v>
      </c>
      <c r="AG41" s="13">
        <f t="shared" si="31"/>
        <v>-10.580188557885966</v>
      </c>
      <c r="AH41" s="1132">
        <f t="shared" si="39"/>
        <v>0</v>
      </c>
      <c r="AI41" s="1132">
        <f t="shared" si="40"/>
        <v>1</v>
      </c>
      <c r="AJ41" s="187">
        <f t="shared" si="41"/>
        <v>0</v>
      </c>
      <c r="AK41" s="1136">
        <f t="shared" si="32"/>
        <v>0</v>
      </c>
      <c r="AR41" s="1132">
        <v>20</v>
      </c>
      <c r="AS41" s="44">
        <v>45</v>
      </c>
      <c r="AT41" s="1135">
        <f t="shared" si="19"/>
        <v>0</v>
      </c>
      <c r="AU41" s="1135">
        <f t="shared" si="6"/>
        <v>0</v>
      </c>
      <c r="AV41" s="1132">
        <f t="shared" si="20"/>
        <v>19.5</v>
      </c>
      <c r="AW41" s="1133">
        <f t="shared" si="42"/>
        <v>112.5</v>
      </c>
      <c r="AX41" s="186">
        <f t="shared" si="33"/>
        <v>-13.627728336645527</v>
      </c>
      <c r="AY41" s="40">
        <f t="shared" si="34"/>
        <v>1.5991983974249986</v>
      </c>
      <c r="AZ41" s="13">
        <f t="shared" si="35"/>
        <v>-10.580188557885966</v>
      </c>
      <c r="BA41" s="1132">
        <f t="shared" si="43"/>
        <v>0</v>
      </c>
      <c r="BB41" s="1132">
        <f t="shared" si="44"/>
        <v>1</v>
      </c>
      <c r="BC41" s="187">
        <f t="shared" si="45"/>
        <v>0</v>
      </c>
      <c r="BD41" s="1136">
        <f t="shared" si="36"/>
        <v>0</v>
      </c>
      <c r="BG41" s="1132"/>
      <c r="BH41" s="1132"/>
      <c r="BI41" s="1132"/>
    </row>
    <row r="42" spans="1:61" x14ac:dyDescent="0.2">
      <c r="A42" s="1135"/>
      <c r="B42" s="1135"/>
      <c r="C42" s="1135"/>
      <c r="D42" s="1135"/>
      <c r="E42" s="187"/>
      <c r="F42" s="187"/>
      <c r="G42" s="187"/>
      <c r="H42" s="187"/>
      <c r="I42" s="187"/>
      <c r="J42" s="187"/>
      <c r="K42" s="187"/>
      <c r="L42" s="187"/>
      <c r="M42" s="187"/>
      <c r="N42" s="187"/>
      <c r="O42" s="187"/>
      <c r="P42" s="187"/>
      <c r="Q42" s="187"/>
      <c r="R42" s="187"/>
      <c r="S42" s="187"/>
      <c r="T42" s="187"/>
      <c r="U42" s="187"/>
      <c r="V42" s="1138"/>
      <c r="W42" s="1138"/>
      <c r="Y42" s="11"/>
      <c r="Z42" s="1139"/>
      <c r="AA42" s="11"/>
      <c r="AC42" s="1132">
        <f t="shared" si="12"/>
        <v>-0.5</v>
      </c>
      <c r="AF42" s="187"/>
      <c r="AK42" s="187">
        <f>SUM(AK26:AK41)</f>
        <v>0.93358509139815249</v>
      </c>
      <c r="AR42" s="11"/>
      <c r="AS42" s="1139"/>
      <c r="AT42" s="1135"/>
      <c r="AU42" s="1135"/>
      <c r="AV42" s="1132">
        <f t="shared" si="20"/>
        <v>-0.5</v>
      </c>
      <c r="AY42" s="40"/>
      <c r="BD42" s="187">
        <f>SUM(BD26:BD41)</f>
        <v>0.93358509139815249</v>
      </c>
      <c r="BG42" s="1132"/>
      <c r="BH42" s="1132"/>
      <c r="BI42" s="1132"/>
    </row>
    <row r="43" spans="1:61" x14ac:dyDescent="0.2">
      <c r="A43" s="1135" t="s">
        <v>1258</v>
      </c>
      <c r="B43" s="1135"/>
      <c r="C43" s="1135"/>
      <c r="D43" s="1135" t="s">
        <v>1258</v>
      </c>
      <c r="E43" s="187"/>
      <c r="F43" s="187"/>
      <c r="G43" s="187" t="s">
        <v>1258</v>
      </c>
      <c r="H43" s="187"/>
      <c r="I43" s="187"/>
      <c r="J43" s="187" t="s">
        <v>1258</v>
      </c>
      <c r="K43" s="187"/>
      <c r="L43" s="187"/>
      <c r="M43" s="187" t="s">
        <v>1258</v>
      </c>
      <c r="N43" s="187"/>
      <c r="O43" s="187"/>
      <c r="P43" s="187" t="s">
        <v>1258</v>
      </c>
      <c r="Q43" s="187"/>
      <c r="R43" s="187"/>
      <c r="S43" s="187" t="s">
        <v>1258</v>
      </c>
      <c r="T43" s="187"/>
      <c r="U43" s="187"/>
      <c r="V43" s="1138"/>
      <c r="W43" s="1138"/>
      <c r="Z43" s="44"/>
      <c r="AC43" s="1132">
        <f t="shared" si="12"/>
        <v>-0.5</v>
      </c>
      <c r="AS43" s="44"/>
      <c r="AT43" s="1135"/>
      <c r="AU43" s="1135"/>
      <c r="AV43" s="1132">
        <f t="shared" si="20"/>
        <v>-0.5</v>
      </c>
      <c r="AY43" s="40"/>
      <c r="BG43" s="1132"/>
      <c r="BH43" s="1132"/>
      <c r="BI43" s="1132"/>
    </row>
    <row r="44" spans="1:61" x14ac:dyDescent="0.2">
      <c r="A44" s="1135">
        <v>0</v>
      </c>
      <c r="B44" s="1135">
        <v>0</v>
      </c>
      <c r="C44" s="1135"/>
      <c r="D44" s="1135">
        <v>0</v>
      </c>
      <c r="E44" s="187">
        <v>0</v>
      </c>
      <c r="F44" s="187"/>
      <c r="G44" s="187">
        <v>0</v>
      </c>
      <c r="H44" s="187">
        <v>0</v>
      </c>
      <c r="I44" s="187"/>
      <c r="J44" s="187">
        <v>0</v>
      </c>
      <c r="K44" s="187">
        <v>0</v>
      </c>
      <c r="L44" s="187"/>
      <c r="M44" s="187">
        <v>0</v>
      </c>
      <c r="N44" s="187">
        <v>0</v>
      </c>
      <c r="O44" s="187"/>
      <c r="P44" s="187">
        <v>0</v>
      </c>
      <c r="Q44" s="187">
        <v>0</v>
      </c>
      <c r="R44" s="187"/>
      <c r="S44" s="187">
        <v>0</v>
      </c>
      <c r="T44" s="187">
        <v>0</v>
      </c>
      <c r="U44" s="187"/>
      <c r="V44" s="1138">
        <f t="shared" ref="V44:V59" si="46">CHOOSE($B$1,A44,D44,G44,J44,M44,P44,S44)</f>
        <v>0</v>
      </c>
      <c r="W44" s="1138">
        <f t="shared" ref="W44:W59" si="47">CHOOSE($B$1,B44,E44,H44,K44,N44,Q44,T44)</f>
        <v>0</v>
      </c>
      <c r="Y44" s="1132">
        <v>5</v>
      </c>
      <c r="Z44" s="44">
        <v>74</v>
      </c>
      <c r="AA44" s="1135">
        <f>V44</f>
        <v>0</v>
      </c>
      <c r="AB44" s="1135">
        <f t="shared" ref="AB44:AB59" si="48">W44</f>
        <v>0</v>
      </c>
      <c r="AC44" s="1132">
        <f t="shared" si="12"/>
        <v>4.5</v>
      </c>
      <c r="AD44" s="1133">
        <f>15*(AC44-12)</f>
        <v>-112.5</v>
      </c>
      <c r="AE44" s="186">
        <f t="shared" ref="AE44:AE59" si="49">23.45*SIN(360*(284+Z44)/365/57.3)</f>
        <v>-2.8294455675668595</v>
      </c>
      <c r="AF44" s="40">
        <f t="shared" ref="AF44:AF59" si="50">((SIN(AE44/57.3)*SIN($B$2/57.3)*COS($Z$2/57.3))-SIN(AE44/57.3)*COS($B$2/57.3)*SIN($Z$2/57.3)*COS($Z$3/57.3)+COS(AE44/57.3)*COS($B$2/57.3)*COS($Z$2/57.3)*COS(AD44/57.3)+COS(AE44/57.3)*SIN($B$2/57.3)*SIN($Z$2/57.3)*COS($Z$3/57.3)*COS(AD44/57.3)+COS(AE44/57.3)*SIN($Z$2/57.3)*SIN($Z$3/57.3)*SIN(AD44/57.3))/(COS($B$2/57.3)*COS(AE44/57.3)*COS(AD44/57.3)+SIN($B$2/57.3)*SIN(AE44/57.3))</f>
        <v>1.6552556219385179</v>
      </c>
      <c r="AG44" s="13">
        <f t="shared" ref="AG44:AG59" si="51">57.3*ASIN(SIN($B$2/57.3)*SIN(AE44/57.3)+COS($B$2/57.3)*COS(AD44/57.3)*COS(AE44/57.6))</f>
        <v>-17.073291547533032</v>
      </c>
      <c r="AH44" s="1132">
        <f>IF(AG44&lt;0,0,1)</f>
        <v>0</v>
      </c>
      <c r="AI44" s="1132">
        <f>IF(AF44&lt;0,0,1)</f>
        <v>1</v>
      </c>
      <c r="AJ44" s="187">
        <f>AF44*AI44*AH44</f>
        <v>0</v>
      </c>
      <c r="AK44" s="1136">
        <f t="shared" ref="AK44:AK59" si="52">AA44*AJ44+((1+COS($Z$2/57.3))/2)*AB44+((1-COS($Z$2/57.3))/2)*(AA44+AB44)*0.2</f>
        <v>0</v>
      </c>
      <c r="AR44" s="1132">
        <v>5</v>
      </c>
      <c r="AS44" s="44">
        <v>74</v>
      </c>
      <c r="AT44" s="1135">
        <f t="shared" si="19"/>
        <v>0</v>
      </c>
      <c r="AU44" s="1135">
        <f t="shared" si="6"/>
        <v>0</v>
      </c>
      <c r="AV44" s="1132">
        <f t="shared" si="20"/>
        <v>4.5</v>
      </c>
      <c r="AW44" s="1133">
        <f>15*(AV44-12)</f>
        <v>-112.5</v>
      </c>
      <c r="AX44" s="186">
        <f t="shared" ref="AX44:AX59" si="53">23.45*SIN(360*(284+AS44)/365/57.3)</f>
        <v>-2.8294455675668595</v>
      </c>
      <c r="AY44" s="40">
        <f t="shared" ref="AY44:AY59" si="54">((SIN(AX44/57.3)*SIN($B$2/57.3)*COS($AS$2/57.3))-SIN(AX44/57.3)*COS($B$2/57.3)*SIN($AS$2/57.3)*COS($AS$3/57.3)+COS(AX44/57.3)*COS($B$2/57.3)*COS($AS$2/57.3)*COS(AW44/57.3)+COS(AX44/57.3)*SIN($B$2/57.3)*SIN($AS$2/57.3)*COS($AS$3/57.3)*COS(AW44/57.3)+COS(AX44/57.3)*SIN($AS$2/57.3)*SIN($AS$3/57.3)*SIN(AW44/57.3))/(COS($B$2/57.3)*COS(AX44/57.3)*COS(AW44/57.3)+SIN($B$2/57.3)*SIN(AX44/57.3))</f>
        <v>1.6552556219385179</v>
      </c>
      <c r="AZ44" s="13">
        <f t="shared" ref="AZ44:AZ59" si="55">57.3*ASIN(SIN($B$2/57.3)*SIN(AX44/57.3)+COS($B$2/57.3)*COS(AW44/57.3)*COS(AX44/57.6))</f>
        <v>-17.073291547533032</v>
      </c>
      <c r="BA44" s="1132">
        <f>IF(AZ44&lt;0,0,1)</f>
        <v>0</v>
      </c>
      <c r="BB44" s="1132">
        <f>IF(AY44&lt;0,0,1)</f>
        <v>1</v>
      </c>
      <c r="BC44" s="187">
        <f>AY44*BB44*BA44</f>
        <v>0</v>
      </c>
      <c r="BD44" s="1136">
        <f t="shared" ref="BD44:BD59" si="56">AT44*BC44+((1+COS($Z$2/57.3))/2)*AU44+((1-COS($Z$2/57.3))/2)*(AT44+AU44)*0.2</f>
        <v>0</v>
      </c>
      <c r="BG44" s="1132"/>
      <c r="BH44" s="1132"/>
      <c r="BI44" s="1132"/>
    </row>
    <row r="45" spans="1:61" x14ac:dyDescent="0.2">
      <c r="A45" s="1135">
        <v>0</v>
      </c>
      <c r="B45" s="1135">
        <v>1.905945499015997E-5</v>
      </c>
      <c r="C45" s="1135"/>
      <c r="D45" s="1135">
        <v>0</v>
      </c>
      <c r="E45" s="187">
        <v>4.7182989811065342E-5</v>
      </c>
      <c r="F45" s="187"/>
      <c r="G45" s="187">
        <v>0</v>
      </c>
      <c r="H45" s="187">
        <v>4.2458024235239926E-5</v>
      </c>
      <c r="I45" s="187"/>
      <c r="J45" s="187">
        <v>1.7519004311198467E-3</v>
      </c>
      <c r="K45" s="187">
        <v>4.2083695138857066E-3</v>
      </c>
      <c r="L45" s="187"/>
      <c r="M45" s="187">
        <v>1.7690713785498615E-5</v>
      </c>
      <c r="N45" s="187">
        <v>8.7412938704816632E-5</v>
      </c>
      <c r="O45" s="187"/>
      <c r="P45" s="187">
        <v>6.742402991556274E-6</v>
      </c>
      <c r="Q45" s="187">
        <v>1.1293525010856757E-4</v>
      </c>
      <c r="R45" s="187"/>
      <c r="S45" s="187">
        <v>1.3778179787996068E-4</v>
      </c>
      <c r="T45" s="187">
        <v>3.5985363681589742E-4</v>
      </c>
      <c r="U45" s="187"/>
      <c r="V45" s="1138">
        <f t="shared" si="46"/>
        <v>0</v>
      </c>
      <c r="W45" s="1138">
        <f t="shared" si="47"/>
        <v>4.2458024235239926E-5</v>
      </c>
      <c r="Y45" s="1132">
        <v>6</v>
      </c>
      <c r="Z45" s="44">
        <v>74</v>
      </c>
      <c r="AA45" s="1135">
        <f t="shared" ref="AA45:AA59" si="57">V45</f>
        <v>0</v>
      </c>
      <c r="AB45" s="1135">
        <f t="shared" si="48"/>
        <v>4.2458024235239926E-5</v>
      </c>
      <c r="AC45" s="1132">
        <f t="shared" si="12"/>
        <v>5.5</v>
      </c>
      <c r="AD45" s="1133">
        <f t="shared" ref="AD45:AD59" si="58">15*(AC45-12)</f>
        <v>-97.5</v>
      </c>
      <c r="AE45" s="186">
        <f t="shared" si="49"/>
        <v>-2.8294455675668595</v>
      </c>
      <c r="AF45" s="40">
        <f t="shared" si="50"/>
        <v>2.9731748188788938</v>
      </c>
      <c r="AG45" s="13">
        <f t="shared" si="51"/>
        <v>-4.7242358543481178</v>
      </c>
      <c r="AH45" s="1132">
        <f t="shared" ref="AH45:AH59" si="59">IF(AG45&lt;0,0,1)</f>
        <v>0</v>
      </c>
      <c r="AI45" s="1132">
        <f t="shared" ref="AI45:AI59" si="60">IF(AF45&lt;0,0,1)</f>
        <v>1</v>
      </c>
      <c r="AJ45" s="187">
        <f t="shared" ref="AJ45:AJ59" si="61">AF45*AI45*AH45</f>
        <v>0</v>
      </c>
      <c r="AK45" s="1136">
        <f t="shared" si="52"/>
        <v>3.8485269284926905E-5</v>
      </c>
      <c r="AR45" s="1132">
        <v>6</v>
      </c>
      <c r="AS45" s="44">
        <v>74</v>
      </c>
      <c r="AT45" s="1135">
        <f t="shared" si="19"/>
        <v>0</v>
      </c>
      <c r="AU45" s="1135">
        <f t="shared" si="6"/>
        <v>4.2458024235239926E-5</v>
      </c>
      <c r="AV45" s="1132">
        <f t="shared" si="20"/>
        <v>5.5</v>
      </c>
      <c r="AW45" s="1133">
        <f t="shared" ref="AW45:AW59" si="62">15*(AV45-12)</f>
        <v>-97.5</v>
      </c>
      <c r="AX45" s="186">
        <f t="shared" si="53"/>
        <v>-2.8294455675668595</v>
      </c>
      <c r="AY45" s="40">
        <f t="shared" si="54"/>
        <v>2.9731748188788938</v>
      </c>
      <c r="AZ45" s="13">
        <f t="shared" si="55"/>
        <v>-4.7242358543481178</v>
      </c>
      <c r="BA45" s="1132">
        <f t="shared" ref="BA45:BA59" si="63">IF(AZ45&lt;0,0,1)</f>
        <v>0</v>
      </c>
      <c r="BB45" s="1132">
        <f t="shared" ref="BB45:BB59" si="64">IF(AY45&lt;0,0,1)</f>
        <v>1</v>
      </c>
      <c r="BC45" s="187">
        <f t="shared" ref="BC45:BC59" si="65">AY45*BB45*BA45</f>
        <v>0</v>
      </c>
      <c r="BD45" s="1136">
        <f t="shared" si="56"/>
        <v>3.8485269284926905E-5</v>
      </c>
      <c r="BG45" s="1132"/>
      <c r="BH45" s="1132"/>
      <c r="BI45" s="1132"/>
    </row>
    <row r="46" spans="1:61" x14ac:dyDescent="0.2">
      <c r="A46" s="1135">
        <v>1.0432807306547868E-3</v>
      </c>
      <c r="B46" s="1135">
        <v>4.2597310959865157E-3</v>
      </c>
      <c r="C46" s="1135"/>
      <c r="D46" s="1135">
        <v>5.2126349564950473E-4</v>
      </c>
      <c r="E46" s="187">
        <v>5.5021771633017372E-3</v>
      </c>
      <c r="F46" s="187"/>
      <c r="G46" s="187">
        <v>6.9809018615320663E-4</v>
      </c>
      <c r="H46" s="187">
        <v>5.5344712963769525E-3</v>
      </c>
      <c r="I46" s="187"/>
      <c r="J46" s="187">
        <v>1.228615389302745E-2</v>
      </c>
      <c r="K46" s="187">
        <v>1.0995079444876073E-2</v>
      </c>
      <c r="L46" s="187"/>
      <c r="M46" s="187">
        <v>1.5744271398256435E-3</v>
      </c>
      <c r="N46" s="187">
        <v>6.4079633601341213E-3</v>
      </c>
      <c r="O46" s="187"/>
      <c r="P46" s="187">
        <v>1.4169919572210648E-3</v>
      </c>
      <c r="Q46" s="187">
        <v>8.7905500018873976E-3</v>
      </c>
      <c r="R46" s="187"/>
      <c r="S46" s="187">
        <v>1.7752150998490116E-3</v>
      </c>
      <c r="T46" s="187">
        <v>9.2846759069419877E-3</v>
      </c>
      <c r="U46" s="187"/>
      <c r="V46" s="1138">
        <f t="shared" si="46"/>
        <v>6.9809018615320663E-4</v>
      </c>
      <c r="W46" s="1138">
        <f t="shared" si="47"/>
        <v>5.5344712963769525E-3</v>
      </c>
      <c r="Y46" s="1132">
        <v>7</v>
      </c>
      <c r="Z46" s="44">
        <v>74</v>
      </c>
      <c r="AA46" s="1135">
        <f t="shared" si="57"/>
        <v>6.9809018615320663E-4</v>
      </c>
      <c r="AB46" s="1135">
        <f t="shared" si="48"/>
        <v>5.5344712963769525E-3</v>
      </c>
      <c r="AC46" s="1132">
        <f t="shared" si="12"/>
        <v>6.5</v>
      </c>
      <c r="AD46" s="1133">
        <f t="shared" si="58"/>
        <v>-82.5</v>
      </c>
      <c r="AE46" s="186">
        <f t="shared" si="49"/>
        <v>-2.8294455675668595</v>
      </c>
      <c r="AF46" s="40">
        <f t="shared" si="50"/>
        <v>9.1973641077581367E-2</v>
      </c>
      <c r="AG46" s="13">
        <f t="shared" si="51"/>
        <v>7.8348878270565763</v>
      </c>
      <c r="AH46" s="1132">
        <f t="shared" si="59"/>
        <v>1</v>
      </c>
      <c r="AI46" s="1132">
        <f t="shared" si="60"/>
        <v>1</v>
      </c>
      <c r="AJ46" s="187">
        <f t="shared" si="61"/>
        <v>9.1973641077581367E-2</v>
      </c>
      <c r="AK46" s="1136">
        <f t="shared" si="52"/>
        <v>5.0971521378435133E-3</v>
      </c>
      <c r="AR46" s="1132">
        <v>7</v>
      </c>
      <c r="AS46" s="44">
        <v>74</v>
      </c>
      <c r="AT46" s="1135">
        <f t="shared" si="19"/>
        <v>6.9809018615320663E-4</v>
      </c>
      <c r="AU46" s="1135">
        <f t="shared" si="6"/>
        <v>5.5344712963769525E-3</v>
      </c>
      <c r="AV46" s="1132">
        <f t="shared" si="20"/>
        <v>6.5</v>
      </c>
      <c r="AW46" s="1133">
        <f t="shared" si="62"/>
        <v>-82.5</v>
      </c>
      <c r="AX46" s="186">
        <f t="shared" si="53"/>
        <v>-2.8294455675668595</v>
      </c>
      <c r="AY46" s="40">
        <f t="shared" si="54"/>
        <v>9.1973641077581367E-2</v>
      </c>
      <c r="AZ46" s="13">
        <f t="shared" si="55"/>
        <v>7.8348878270565763</v>
      </c>
      <c r="BA46" s="1132">
        <f t="shared" si="63"/>
        <v>1</v>
      </c>
      <c r="BB46" s="1132">
        <f t="shared" si="64"/>
        <v>1</v>
      </c>
      <c r="BC46" s="187">
        <f t="shared" si="65"/>
        <v>9.1973641077581367E-2</v>
      </c>
      <c r="BD46" s="1136">
        <f t="shared" si="56"/>
        <v>5.0971521378435133E-3</v>
      </c>
      <c r="BG46" s="1132"/>
      <c r="BH46" s="1132"/>
      <c r="BI46" s="1132"/>
    </row>
    <row r="47" spans="1:61" x14ac:dyDescent="0.2">
      <c r="A47" s="1135">
        <v>1.8892596435835435E-2</v>
      </c>
      <c r="B47" s="1135">
        <v>1.9965037052162779E-2</v>
      </c>
      <c r="C47" s="1135"/>
      <c r="D47" s="1135">
        <v>1.4912394930023767E-2</v>
      </c>
      <c r="E47" s="187">
        <v>2.7035976335332522E-2</v>
      </c>
      <c r="F47" s="187"/>
      <c r="G47" s="187">
        <v>1.6963164281979633E-2</v>
      </c>
      <c r="H47" s="187">
        <v>2.4086027409983665E-2</v>
      </c>
      <c r="I47" s="187"/>
      <c r="J47" s="187">
        <v>2.3106043294791531E-2</v>
      </c>
      <c r="K47" s="187">
        <v>2.2294837225599086E-2</v>
      </c>
      <c r="L47" s="187"/>
      <c r="M47" s="187">
        <v>1.7884536828568151E-2</v>
      </c>
      <c r="N47" s="187">
        <v>2.0587893089610086E-2</v>
      </c>
      <c r="O47" s="187"/>
      <c r="P47" s="187">
        <v>1.3251158819085663E-2</v>
      </c>
      <c r="Q47" s="187">
        <v>3.2075581401986797E-2</v>
      </c>
      <c r="R47" s="187"/>
      <c r="S47" s="187">
        <v>1.6692747348461566E-2</v>
      </c>
      <c r="T47" s="187">
        <v>2.9933523030898003E-2</v>
      </c>
      <c r="U47" s="187"/>
      <c r="V47" s="1138">
        <f t="shared" si="46"/>
        <v>1.6963164281979633E-2</v>
      </c>
      <c r="W47" s="1138">
        <f t="shared" si="47"/>
        <v>2.4086027409983665E-2</v>
      </c>
      <c r="Y47" s="1132">
        <v>8</v>
      </c>
      <c r="Z47" s="44">
        <v>74</v>
      </c>
      <c r="AA47" s="1135">
        <f t="shared" si="57"/>
        <v>1.6963164281979633E-2</v>
      </c>
      <c r="AB47" s="1135">
        <f t="shared" si="48"/>
        <v>2.4086027409983665E-2</v>
      </c>
      <c r="AC47" s="1132">
        <f t="shared" si="12"/>
        <v>7.5</v>
      </c>
      <c r="AD47" s="1133">
        <f t="shared" si="58"/>
        <v>-67.5</v>
      </c>
      <c r="AE47" s="186">
        <f t="shared" si="49"/>
        <v>-2.8294455675668595</v>
      </c>
      <c r="AF47" s="40">
        <f t="shared" si="50"/>
        <v>0.7731708447149509</v>
      </c>
      <c r="AG47" s="13">
        <f t="shared" si="51"/>
        <v>20.336924722497297</v>
      </c>
      <c r="AH47" s="1132">
        <f t="shared" si="59"/>
        <v>1</v>
      </c>
      <c r="AI47" s="1132">
        <f t="shared" si="60"/>
        <v>1</v>
      </c>
      <c r="AJ47" s="187">
        <f t="shared" si="61"/>
        <v>0.7731708447149509</v>
      </c>
      <c r="AK47" s="1136">
        <f t="shared" si="52"/>
        <v>3.5344552510176167E-2</v>
      </c>
      <c r="AR47" s="1132">
        <v>8</v>
      </c>
      <c r="AS47" s="44">
        <v>74</v>
      </c>
      <c r="AT47" s="1135">
        <f t="shared" si="19"/>
        <v>1.6963164281979633E-2</v>
      </c>
      <c r="AU47" s="1135">
        <f t="shared" si="6"/>
        <v>2.4086027409983665E-2</v>
      </c>
      <c r="AV47" s="1132">
        <f t="shared" si="20"/>
        <v>7.5</v>
      </c>
      <c r="AW47" s="1133">
        <f t="shared" si="62"/>
        <v>-67.5</v>
      </c>
      <c r="AX47" s="186">
        <f t="shared" si="53"/>
        <v>-2.8294455675668595</v>
      </c>
      <c r="AY47" s="40">
        <f t="shared" si="54"/>
        <v>0.7731708447149509</v>
      </c>
      <c r="AZ47" s="13">
        <f t="shared" si="55"/>
        <v>20.336924722497297</v>
      </c>
      <c r="BA47" s="1132">
        <f t="shared" si="63"/>
        <v>1</v>
      </c>
      <c r="BB47" s="1132">
        <f t="shared" si="64"/>
        <v>1</v>
      </c>
      <c r="BC47" s="187">
        <f t="shared" si="65"/>
        <v>0.7731708447149509</v>
      </c>
      <c r="BD47" s="1136">
        <f t="shared" si="56"/>
        <v>3.5344552510176167E-2</v>
      </c>
      <c r="BG47" s="1132"/>
      <c r="BH47" s="1132"/>
      <c r="BI47" s="1132"/>
    </row>
    <row r="48" spans="1:61" x14ac:dyDescent="0.2">
      <c r="A48" s="1135">
        <v>4.9388984727356797E-2</v>
      </c>
      <c r="B48" s="1135">
        <v>2.7787514279863729E-2</v>
      </c>
      <c r="C48" s="1135"/>
      <c r="D48" s="1135">
        <v>4.2080706916530486E-2</v>
      </c>
      <c r="E48" s="187">
        <v>3.8966730151583542E-2</v>
      </c>
      <c r="F48" s="187"/>
      <c r="G48" s="187">
        <v>4.3857413502848344E-2</v>
      </c>
      <c r="H48" s="187">
        <v>3.3829105252784E-2</v>
      </c>
      <c r="I48" s="187"/>
      <c r="J48" s="187">
        <v>4.1436253675182395E-2</v>
      </c>
      <c r="K48" s="187">
        <v>3.3788827445424524E-2</v>
      </c>
      <c r="L48" s="187"/>
      <c r="M48" s="187">
        <v>4.3365378158816414E-2</v>
      </c>
      <c r="N48" s="187">
        <v>3.1315474992807291E-2</v>
      </c>
      <c r="O48" s="187"/>
      <c r="P48" s="187">
        <v>2.7888607816049397E-2</v>
      </c>
      <c r="Q48" s="187">
        <v>4.7553595070659566E-2</v>
      </c>
      <c r="R48" s="187"/>
      <c r="S48" s="187">
        <v>3.8293614036661081E-2</v>
      </c>
      <c r="T48" s="187">
        <v>4.3184057380235681E-2</v>
      </c>
      <c r="U48" s="187"/>
      <c r="V48" s="1138">
        <f t="shared" si="46"/>
        <v>4.3857413502848344E-2</v>
      </c>
      <c r="W48" s="1138">
        <f t="shared" si="47"/>
        <v>3.3829105252784E-2</v>
      </c>
      <c r="Y48" s="1132">
        <v>9</v>
      </c>
      <c r="Z48" s="44">
        <v>74</v>
      </c>
      <c r="AA48" s="1135">
        <f t="shared" si="57"/>
        <v>4.3857413502848344E-2</v>
      </c>
      <c r="AB48" s="1135">
        <f t="shared" si="48"/>
        <v>3.3829105252784E-2</v>
      </c>
      <c r="AC48" s="1132">
        <f t="shared" si="12"/>
        <v>8.5</v>
      </c>
      <c r="AD48" s="1133">
        <f t="shared" si="58"/>
        <v>-52.5</v>
      </c>
      <c r="AE48" s="186">
        <f t="shared" si="49"/>
        <v>-2.8294455675668595</v>
      </c>
      <c r="AF48" s="40">
        <f t="shared" si="50"/>
        <v>0.94277270272781943</v>
      </c>
      <c r="AG48" s="13">
        <f t="shared" si="51"/>
        <v>32.473527547734903</v>
      </c>
      <c r="AH48" s="1132">
        <f t="shared" si="59"/>
        <v>1</v>
      </c>
      <c r="AI48" s="1132">
        <f t="shared" si="60"/>
        <v>1</v>
      </c>
      <c r="AJ48" s="187">
        <f t="shared" si="61"/>
        <v>0.94277270272781943</v>
      </c>
      <c r="AK48" s="1136">
        <f t="shared" si="52"/>
        <v>7.3037245503700263E-2</v>
      </c>
      <c r="AR48" s="1132">
        <v>9</v>
      </c>
      <c r="AS48" s="44">
        <v>74</v>
      </c>
      <c r="AT48" s="1135">
        <f t="shared" si="19"/>
        <v>4.3857413502848344E-2</v>
      </c>
      <c r="AU48" s="1135">
        <f t="shared" si="6"/>
        <v>3.3829105252784E-2</v>
      </c>
      <c r="AV48" s="1132">
        <f t="shared" si="20"/>
        <v>8.5</v>
      </c>
      <c r="AW48" s="1133">
        <f t="shared" si="62"/>
        <v>-52.5</v>
      </c>
      <c r="AX48" s="186">
        <f t="shared" si="53"/>
        <v>-2.8294455675668595</v>
      </c>
      <c r="AY48" s="40">
        <f t="shared" si="54"/>
        <v>0.94277270272781943</v>
      </c>
      <c r="AZ48" s="13">
        <f t="shared" si="55"/>
        <v>32.473527547734903</v>
      </c>
      <c r="BA48" s="1132">
        <f t="shared" si="63"/>
        <v>1</v>
      </c>
      <c r="BB48" s="1132">
        <f t="shared" si="64"/>
        <v>1</v>
      </c>
      <c r="BC48" s="187">
        <f t="shared" si="65"/>
        <v>0.94277270272781943</v>
      </c>
      <c r="BD48" s="1136">
        <f t="shared" si="56"/>
        <v>7.3037245503700263E-2</v>
      </c>
      <c r="BG48" s="1132"/>
      <c r="BH48" s="1132"/>
      <c r="BI48" s="1132"/>
    </row>
    <row r="49" spans="1:61" x14ac:dyDescent="0.2">
      <c r="A49" s="1135">
        <v>7.4429770753164232E-2</v>
      </c>
      <c r="B49" s="1135">
        <v>3.5288580914281185E-2</v>
      </c>
      <c r="C49" s="1135"/>
      <c r="D49" s="1135">
        <v>6.0564984445098932E-2</v>
      </c>
      <c r="E49" s="187">
        <v>4.7195347260777759E-2</v>
      </c>
      <c r="F49" s="187"/>
      <c r="G49" s="187">
        <v>6.3679787421892897E-2</v>
      </c>
      <c r="H49" s="187">
        <v>4.3432487669517003E-2</v>
      </c>
      <c r="I49" s="187"/>
      <c r="J49" s="187">
        <v>5.539052145697175E-2</v>
      </c>
      <c r="K49" s="187">
        <v>4.5320902457230826E-2</v>
      </c>
      <c r="L49" s="187"/>
      <c r="M49" s="187">
        <v>6.9228966193769448E-2</v>
      </c>
      <c r="N49" s="187">
        <v>3.8963276797449362E-2</v>
      </c>
      <c r="O49" s="187"/>
      <c r="P49" s="187">
        <v>4.752719868748019E-2</v>
      </c>
      <c r="Q49" s="187">
        <v>6.0969864651895495E-2</v>
      </c>
      <c r="R49" s="187"/>
      <c r="S49" s="187">
        <v>5.6209337605842132E-2</v>
      </c>
      <c r="T49" s="187">
        <v>5.1785883745086671E-2</v>
      </c>
      <c r="U49" s="187"/>
      <c r="V49" s="1138">
        <f t="shared" si="46"/>
        <v>6.3679787421892897E-2</v>
      </c>
      <c r="W49" s="1138">
        <f t="shared" si="47"/>
        <v>4.3432487669517003E-2</v>
      </c>
      <c r="Y49" s="1132">
        <v>10</v>
      </c>
      <c r="Z49" s="44">
        <v>74</v>
      </c>
      <c r="AA49" s="1135">
        <f t="shared" si="57"/>
        <v>6.3679787421892897E-2</v>
      </c>
      <c r="AB49" s="1135">
        <f t="shared" si="48"/>
        <v>4.3432487669517003E-2</v>
      </c>
      <c r="AC49" s="1132">
        <f t="shared" si="12"/>
        <v>9.5</v>
      </c>
      <c r="AD49" s="1133">
        <f t="shared" si="58"/>
        <v>-37.5</v>
      </c>
      <c r="AE49" s="186">
        <f t="shared" si="49"/>
        <v>-2.8294455675668595</v>
      </c>
      <c r="AF49" s="40">
        <f t="shared" si="50"/>
        <v>1.0249586027948667</v>
      </c>
      <c r="AG49" s="13">
        <f t="shared" si="51"/>
        <v>43.750894883087959</v>
      </c>
      <c r="AH49" s="1132">
        <f t="shared" si="59"/>
        <v>1</v>
      </c>
      <c r="AI49" s="1132">
        <f t="shared" si="60"/>
        <v>1</v>
      </c>
      <c r="AJ49" s="187">
        <f t="shared" si="61"/>
        <v>1.0249586027948667</v>
      </c>
      <c r="AK49" s="1136">
        <f t="shared" si="52"/>
        <v>0.10612731262804719</v>
      </c>
      <c r="AR49" s="1132">
        <v>10</v>
      </c>
      <c r="AS49" s="44">
        <v>74</v>
      </c>
      <c r="AT49" s="1135">
        <f t="shared" si="19"/>
        <v>6.3679787421892897E-2</v>
      </c>
      <c r="AU49" s="1135">
        <f t="shared" si="6"/>
        <v>4.3432487669517003E-2</v>
      </c>
      <c r="AV49" s="1132">
        <f t="shared" si="20"/>
        <v>9.5</v>
      </c>
      <c r="AW49" s="1133">
        <f t="shared" si="62"/>
        <v>-37.5</v>
      </c>
      <c r="AX49" s="186">
        <f t="shared" si="53"/>
        <v>-2.8294455675668595</v>
      </c>
      <c r="AY49" s="40">
        <f t="shared" si="54"/>
        <v>1.0249586027948667</v>
      </c>
      <c r="AZ49" s="13">
        <f t="shared" si="55"/>
        <v>43.750894883087959</v>
      </c>
      <c r="BA49" s="1132">
        <f t="shared" si="63"/>
        <v>1</v>
      </c>
      <c r="BB49" s="1132">
        <f t="shared" si="64"/>
        <v>1</v>
      </c>
      <c r="BC49" s="187">
        <f t="shared" si="65"/>
        <v>1.0249586027948667</v>
      </c>
      <c r="BD49" s="1136">
        <f t="shared" si="56"/>
        <v>0.10612731262804719</v>
      </c>
      <c r="BG49" s="1132"/>
      <c r="BH49" s="1132"/>
      <c r="BI49" s="1132"/>
    </row>
    <row r="50" spans="1:61" x14ac:dyDescent="0.2">
      <c r="A50" s="1135">
        <v>9.0055058489642667E-2</v>
      </c>
      <c r="B50" s="1135">
        <v>3.9952083014828041E-2</v>
      </c>
      <c r="C50" s="1135"/>
      <c r="D50" s="1135">
        <v>7.1454144450781215E-2</v>
      </c>
      <c r="E50" s="187">
        <v>5.2888761364646319E-2</v>
      </c>
      <c r="F50" s="187"/>
      <c r="G50" s="187">
        <v>8.2668879870712281E-2</v>
      </c>
      <c r="H50" s="187">
        <v>4.7676218969907563E-2</v>
      </c>
      <c r="I50" s="187"/>
      <c r="J50" s="187">
        <v>6.6994957573541736E-2</v>
      </c>
      <c r="K50" s="187">
        <v>5.2785521685480549E-2</v>
      </c>
      <c r="L50" s="187"/>
      <c r="M50" s="187">
        <v>8.6752138513417176E-2</v>
      </c>
      <c r="N50" s="187">
        <v>4.3569106163015056E-2</v>
      </c>
      <c r="O50" s="187"/>
      <c r="P50" s="187">
        <v>5.3226214816093124E-2</v>
      </c>
      <c r="Q50" s="187">
        <v>7.0945249877903016E-2</v>
      </c>
      <c r="R50" s="187"/>
      <c r="S50" s="187">
        <v>6.4136616431957713E-2</v>
      </c>
      <c r="T50" s="187">
        <v>5.7745161972655543E-2</v>
      </c>
      <c r="U50" s="187"/>
      <c r="V50" s="1138">
        <f t="shared" si="46"/>
        <v>8.2668879870712281E-2</v>
      </c>
      <c r="W50" s="1138">
        <f t="shared" si="47"/>
        <v>4.7676218969907563E-2</v>
      </c>
      <c r="Y50" s="1132">
        <v>11</v>
      </c>
      <c r="Z50" s="44">
        <v>74</v>
      </c>
      <c r="AA50" s="1135">
        <f t="shared" si="57"/>
        <v>8.2668879870712281E-2</v>
      </c>
      <c r="AB50" s="1135">
        <f t="shared" si="48"/>
        <v>4.7676218969907563E-2</v>
      </c>
      <c r="AC50" s="1132">
        <f t="shared" si="12"/>
        <v>10.5</v>
      </c>
      <c r="AD50" s="1133">
        <f t="shared" si="58"/>
        <v>-22.5</v>
      </c>
      <c r="AE50" s="186">
        <f t="shared" si="49"/>
        <v>-2.8294455675668595</v>
      </c>
      <c r="AF50" s="40">
        <f t="shared" si="50"/>
        <v>1.0772356973845627</v>
      </c>
      <c r="AG50" s="13">
        <f t="shared" si="51"/>
        <v>53.211234026001122</v>
      </c>
      <c r="AH50" s="1132">
        <f t="shared" si="59"/>
        <v>1</v>
      </c>
      <c r="AI50" s="1132">
        <f t="shared" si="60"/>
        <v>1</v>
      </c>
      <c r="AJ50" s="187">
        <f t="shared" si="61"/>
        <v>1.0772356973845627</v>
      </c>
      <c r="AK50" s="1136">
        <f t="shared" si="52"/>
        <v>0.13420288235049374</v>
      </c>
      <c r="AR50" s="1132">
        <v>11</v>
      </c>
      <c r="AS50" s="44">
        <v>74</v>
      </c>
      <c r="AT50" s="1135">
        <f t="shared" si="19"/>
        <v>8.2668879870712281E-2</v>
      </c>
      <c r="AU50" s="1135">
        <f t="shared" si="6"/>
        <v>4.7676218969907563E-2</v>
      </c>
      <c r="AV50" s="1132">
        <f t="shared" si="20"/>
        <v>10.5</v>
      </c>
      <c r="AW50" s="1133">
        <f t="shared" si="62"/>
        <v>-22.5</v>
      </c>
      <c r="AX50" s="186">
        <f t="shared" si="53"/>
        <v>-2.8294455675668595</v>
      </c>
      <c r="AY50" s="40">
        <f t="shared" si="54"/>
        <v>1.0772356973845627</v>
      </c>
      <c r="AZ50" s="13">
        <f t="shared" si="55"/>
        <v>53.211234026001122</v>
      </c>
      <c r="BA50" s="1132">
        <f t="shared" si="63"/>
        <v>1</v>
      </c>
      <c r="BB50" s="1132">
        <f t="shared" si="64"/>
        <v>1</v>
      </c>
      <c r="BC50" s="187">
        <f t="shared" si="65"/>
        <v>1.0772356973845627</v>
      </c>
      <c r="BD50" s="1136">
        <f t="shared" si="56"/>
        <v>0.13420288235049374</v>
      </c>
      <c r="BG50" s="1132"/>
      <c r="BH50" s="1132"/>
      <c r="BI50" s="1132"/>
    </row>
    <row r="51" spans="1:61" x14ac:dyDescent="0.2">
      <c r="A51" s="1135">
        <v>9.6172277202620809E-2</v>
      </c>
      <c r="B51" s="1135">
        <v>4.2745159509749671E-2</v>
      </c>
      <c r="C51" s="1135"/>
      <c r="D51" s="1135">
        <v>8.3138674856135727E-2</v>
      </c>
      <c r="E51" s="187">
        <v>5.569165564032745E-2</v>
      </c>
      <c r="F51" s="187"/>
      <c r="G51" s="187">
        <v>8.9838072597067553E-2</v>
      </c>
      <c r="H51" s="187">
        <v>4.7692787954974981E-2</v>
      </c>
      <c r="I51" s="187"/>
      <c r="J51" s="187">
        <v>7.2947610560151116E-2</v>
      </c>
      <c r="K51" s="187">
        <v>5.669302134271742E-2</v>
      </c>
      <c r="L51" s="187"/>
      <c r="M51" s="187">
        <v>9.3591160336846405E-2</v>
      </c>
      <c r="N51" s="187">
        <v>4.6654574773250537E-2</v>
      </c>
      <c r="O51" s="187"/>
      <c r="P51" s="187">
        <v>5.7275027812522666E-2</v>
      </c>
      <c r="Q51" s="187">
        <v>7.8960281434115528E-2</v>
      </c>
      <c r="R51" s="187"/>
      <c r="S51" s="187">
        <v>7.0771215240459831E-2</v>
      </c>
      <c r="T51" s="187">
        <v>5.9690316766254983E-2</v>
      </c>
      <c r="U51" s="187"/>
      <c r="V51" s="1138">
        <f t="shared" si="46"/>
        <v>8.9838072597067553E-2</v>
      </c>
      <c r="W51" s="1138">
        <f t="shared" si="47"/>
        <v>4.7692787954974981E-2</v>
      </c>
      <c r="Y51" s="1132">
        <v>12</v>
      </c>
      <c r="Z51" s="44">
        <v>74</v>
      </c>
      <c r="AA51" s="1135">
        <f t="shared" si="57"/>
        <v>8.9838072597067553E-2</v>
      </c>
      <c r="AB51" s="1135">
        <f t="shared" si="48"/>
        <v>4.7692787954974981E-2</v>
      </c>
      <c r="AC51" s="1132">
        <f t="shared" si="12"/>
        <v>11.5</v>
      </c>
      <c r="AD51" s="1133">
        <f t="shared" si="58"/>
        <v>-7.5</v>
      </c>
      <c r="AE51" s="186">
        <f t="shared" si="49"/>
        <v>-2.8294455675668595</v>
      </c>
      <c r="AF51" s="40">
        <f t="shared" si="50"/>
        <v>1.1166495795903748</v>
      </c>
      <c r="AG51" s="13">
        <f t="shared" si="51"/>
        <v>59.030008496010119</v>
      </c>
      <c r="AH51" s="1132">
        <f t="shared" si="59"/>
        <v>1</v>
      </c>
      <c r="AI51" s="1132">
        <f t="shared" si="60"/>
        <v>1</v>
      </c>
      <c r="AJ51" s="187">
        <f t="shared" si="61"/>
        <v>1.1166495795903748</v>
      </c>
      <c r="AK51" s="1136">
        <f t="shared" si="52"/>
        <v>0.145649382081321</v>
      </c>
      <c r="AR51" s="1132">
        <v>12</v>
      </c>
      <c r="AS51" s="44">
        <v>74</v>
      </c>
      <c r="AT51" s="1135">
        <f t="shared" si="19"/>
        <v>8.9838072597067553E-2</v>
      </c>
      <c r="AU51" s="1135">
        <f t="shared" si="6"/>
        <v>4.7692787954974981E-2</v>
      </c>
      <c r="AV51" s="1132">
        <f t="shared" si="20"/>
        <v>11.5</v>
      </c>
      <c r="AW51" s="1133">
        <f t="shared" si="62"/>
        <v>-7.5</v>
      </c>
      <c r="AX51" s="186">
        <f t="shared" si="53"/>
        <v>-2.8294455675668595</v>
      </c>
      <c r="AY51" s="40">
        <f t="shared" si="54"/>
        <v>1.1166495795903748</v>
      </c>
      <c r="AZ51" s="13">
        <f t="shared" si="55"/>
        <v>59.030008496010119</v>
      </c>
      <c r="BA51" s="1132">
        <f t="shared" si="63"/>
        <v>1</v>
      </c>
      <c r="BB51" s="1132">
        <f t="shared" si="64"/>
        <v>1</v>
      </c>
      <c r="BC51" s="187">
        <f t="shared" si="65"/>
        <v>1.1166495795903748</v>
      </c>
      <c r="BD51" s="1136">
        <f t="shared" si="56"/>
        <v>0.145649382081321</v>
      </c>
      <c r="BG51" s="1132"/>
      <c r="BH51" s="1132"/>
      <c r="BI51" s="1132"/>
    </row>
    <row r="52" spans="1:61" x14ac:dyDescent="0.2">
      <c r="A52" s="1135">
        <v>9.6172277202620809E-2</v>
      </c>
      <c r="B52" s="1135">
        <v>4.2745159509749671E-2</v>
      </c>
      <c r="C52" s="1135"/>
      <c r="D52" s="1135">
        <v>8.3138674856135727E-2</v>
      </c>
      <c r="E52" s="187">
        <v>5.569165564032745E-2</v>
      </c>
      <c r="F52" s="187"/>
      <c r="G52" s="187">
        <v>8.9838072597067553E-2</v>
      </c>
      <c r="H52" s="187">
        <v>4.7692787954974981E-2</v>
      </c>
      <c r="I52" s="187"/>
      <c r="J52" s="187">
        <v>7.2947610560151116E-2</v>
      </c>
      <c r="K52" s="187">
        <v>5.669302134271742E-2</v>
      </c>
      <c r="L52" s="187"/>
      <c r="M52" s="187">
        <v>9.3591160336846405E-2</v>
      </c>
      <c r="N52" s="187">
        <v>4.6654574773250537E-2</v>
      </c>
      <c r="O52" s="187"/>
      <c r="P52" s="187">
        <v>5.7275027812522666E-2</v>
      </c>
      <c r="Q52" s="187">
        <v>7.8960281434115528E-2</v>
      </c>
      <c r="R52" s="187"/>
      <c r="S52" s="187">
        <v>7.0771215240459831E-2</v>
      </c>
      <c r="T52" s="187">
        <v>5.9690316766254983E-2</v>
      </c>
      <c r="U52" s="187"/>
      <c r="V52" s="1138">
        <f t="shared" si="46"/>
        <v>8.9838072597067553E-2</v>
      </c>
      <c r="W52" s="1138">
        <f t="shared" si="47"/>
        <v>4.7692787954974981E-2</v>
      </c>
      <c r="Y52" s="1132">
        <v>13</v>
      </c>
      <c r="Z52" s="44">
        <v>74</v>
      </c>
      <c r="AA52" s="1135">
        <f t="shared" si="57"/>
        <v>8.9838072597067553E-2</v>
      </c>
      <c r="AB52" s="1135">
        <f t="shared" si="48"/>
        <v>4.7692787954974981E-2</v>
      </c>
      <c r="AC52" s="1132">
        <f t="shared" si="12"/>
        <v>12.5</v>
      </c>
      <c r="AD52" s="1133">
        <f t="shared" si="58"/>
        <v>7.5</v>
      </c>
      <c r="AE52" s="186">
        <f t="shared" si="49"/>
        <v>-2.8294455675668595</v>
      </c>
      <c r="AF52" s="40">
        <f t="shared" si="50"/>
        <v>1.1506307340051867</v>
      </c>
      <c r="AG52" s="13">
        <f t="shared" si="51"/>
        <v>59.030008496010119</v>
      </c>
      <c r="AH52" s="1132">
        <f t="shared" si="59"/>
        <v>1</v>
      </c>
      <c r="AI52" s="1132">
        <f t="shared" si="60"/>
        <v>1</v>
      </c>
      <c r="AJ52" s="187">
        <f t="shared" si="61"/>
        <v>1.1506307340051867</v>
      </c>
      <c r="AK52" s="1136">
        <f t="shared" si="52"/>
        <v>0.14870218349857103</v>
      </c>
      <c r="AR52" s="1132">
        <v>13</v>
      </c>
      <c r="AS52" s="44">
        <v>74</v>
      </c>
      <c r="AT52" s="1135">
        <f t="shared" si="19"/>
        <v>8.9838072597067553E-2</v>
      </c>
      <c r="AU52" s="1135">
        <f t="shared" si="6"/>
        <v>4.7692787954974981E-2</v>
      </c>
      <c r="AV52" s="1132">
        <f t="shared" si="20"/>
        <v>12.5</v>
      </c>
      <c r="AW52" s="1133">
        <f t="shared" si="62"/>
        <v>7.5</v>
      </c>
      <c r="AX52" s="186">
        <f t="shared" si="53"/>
        <v>-2.8294455675668595</v>
      </c>
      <c r="AY52" s="40">
        <f t="shared" si="54"/>
        <v>1.1506307340051867</v>
      </c>
      <c r="AZ52" s="13">
        <f t="shared" si="55"/>
        <v>59.030008496010119</v>
      </c>
      <c r="BA52" s="1132">
        <f t="shared" si="63"/>
        <v>1</v>
      </c>
      <c r="BB52" s="1132">
        <f t="shared" si="64"/>
        <v>1</v>
      </c>
      <c r="BC52" s="187">
        <f t="shared" si="65"/>
        <v>1.1506307340051867</v>
      </c>
      <c r="BD52" s="1136">
        <f t="shared" si="56"/>
        <v>0.14870218349857103</v>
      </c>
      <c r="BG52" s="1132"/>
      <c r="BH52" s="1132"/>
      <c r="BI52" s="1132"/>
    </row>
    <row r="53" spans="1:61" x14ac:dyDescent="0.2">
      <c r="A53" s="1135">
        <v>9.0055058489642667E-2</v>
      </c>
      <c r="B53" s="1135">
        <v>3.9952083014828041E-2</v>
      </c>
      <c r="C53" s="1135"/>
      <c r="D53" s="1135">
        <v>7.1454144450781215E-2</v>
      </c>
      <c r="E53" s="187">
        <v>5.2888761364646319E-2</v>
      </c>
      <c r="F53" s="187"/>
      <c r="G53" s="187">
        <v>8.2668879870712281E-2</v>
      </c>
      <c r="H53" s="187">
        <v>4.7676218969907563E-2</v>
      </c>
      <c r="I53" s="187"/>
      <c r="J53" s="187">
        <v>6.6994957573541736E-2</v>
      </c>
      <c r="K53" s="187">
        <v>5.2785521685480549E-2</v>
      </c>
      <c r="L53" s="187"/>
      <c r="M53" s="187">
        <v>8.6752138513417176E-2</v>
      </c>
      <c r="N53" s="187">
        <v>4.3569106163015056E-2</v>
      </c>
      <c r="O53" s="187"/>
      <c r="P53" s="187">
        <v>5.3226214816093124E-2</v>
      </c>
      <c r="Q53" s="187">
        <v>7.0945249877903016E-2</v>
      </c>
      <c r="R53" s="187"/>
      <c r="S53" s="187">
        <v>6.4136616431957713E-2</v>
      </c>
      <c r="T53" s="187">
        <v>5.7745161972655543E-2</v>
      </c>
      <c r="U53" s="187"/>
      <c r="V53" s="1138">
        <f t="shared" si="46"/>
        <v>8.2668879870712281E-2</v>
      </c>
      <c r="W53" s="1138">
        <f t="shared" si="47"/>
        <v>4.7676218969907563E-2</v>
      </c>
      <c r="Y53" s="1132">
        <v>14</v>
      </c>
      <c r="Z53" s="44">
        <v>74</v>
      </c>
      <c r="AA53" s="1135">
        <f t="shared" si="57"/>
        <v>8.2668879870712281E-2</v>
      </c>
      <c r="AB53" s="1135">
        <f t="shared" si="48"/>
        <v>4.7676218969907563E-2</v>
      </c>
      <c r="AC53" s="1132">
        <f t="shared" si="12"/>
        <v>13.5</v>
      </c>
      <c r="AD53" s="1133">
        <f t="shared" si="58"/>
        <v>22.5</v>
      </c>
      <c r="AE53" s="186">
        <f t="shared" si="49"/>
        <v>-2.8294455675668595</v>
      </c>
      <c r="AF53" s="40">
        <f t="shared" si="50"/>
        <v>1.1839040718109941</v>
      </c>
      <c r="AG53" s="13">
        <f t="shared" si="51"/>
        <v>53.211234026001122</v>
      </c>
      <c r="AH53" s="1132">
        <f t="shared" si="59"/>
        <v>1</v>
      </c>
      <c r="AI53" s="1132">
        <f t="shared" si="60"/>
        <v>1</v>
      </c>
      <c r="AJ53" s="187">
        <f t="shared" si="61"/>
        <v>1.1839040718109941</v>
      </c>
      <c r="AK53" s="1136">
        <f t="shared" si="52"/>
        <v>0.14302103738195657</v>
      </c>
      <c r="AR53" s="1132">
        <v>14</v>
      </c>
      <c r="AS53" s="44">
        <v>74</v>
      </c>
      <c r="AT53" s="1135">
        <f t="shared" si="19"/>
        <v>8.2668879870712281E-2</v>
      </c>
      <c r="AU53" s="1135">
        <f t="shared" si="6"/>
        <v>4.7676218969907563E-2</v>
      </c>
      <c r="AV53" s="1132">
        <f t="shared" si="20"/>
        <v>13.5</v>
      </c>
      <c r="AW53" s="1133">
        <f t="shared" si="62"/>
        <v>22.5</v>
      </c>
      <c r="AX53" s="186">
        <f t="shared" si="53"/>
        <v>-2.8294455675668595</v>
      </c>
      <c r="AY53" s="40">
        <f t="shared" si="54"/>
        <v>1.1839040718109941</v>
      </c>
      <c r="AZ53" s="13">
        <f t="shared" si="55"/>
        <v>53.211234026001122</v>
      </c>
      <c r="BA53" s="1132">
        <f t="shared" si="63"/>
        <v>1</v>
      </c>
      <c r="BB53" s="1132">
        <f t="shared" si="64"/>
        <v>1</v>
      </c>
      <c r="BC53" s="187">
        <f t="shared" si="65"/>
        <v>1.1839040718109941</v>
      </c>
      <c r="BD53" s="1136">
        <f t="shared" si="56"/>
        <v>0.14302103738195657</v>
      </c>
      <c r="BG53" s="1132"/>
      <c r="BH53" s="1132"/>
      <c r="BI53" s="1132"/>
    </row>
    <row r="54" spans="1:61" x14ac:dyDescent="0.2">
      <c r="A54" s="1135">
        <v>7.4429770753164232E-2</v>
      </c>
      <c r="B54" s="1135">
        <v>3.5288580914281185E-2</v>
      </c>
      <c r="C54" s="1135"/>
      <c r="D54" s="1135">
        <v>6.0564984445098932E-2</v>
      </c>
      <c r="E54" s="187">
        <v>4.7195347260777759E-2</v>
      </c>
      <c r="F54" s="187"/>
      <c r="G54" s="187">
        <v>6.3679787421892897E-2</v>
      </c>
      <c r="H54" s="187">
        <v>4.3432487669517003E-2</v>
      </c>
      <c r="I54" s="187"/>
      <c r="J54" s="187">
        <v>5.539052145697175E-2</v>
      </c>
      <c r="K54" s="187">
        <v>4.5320902457230826E-2</v>
      </c>
      <c r="L54" s="187"/>
      <c r="M54" s="187">
        <v>6.9228966193769448E-2</v>
      </c>
      <c r="N54" s="187">
        <v>3.8963276797449362E-2</v>
      </c>
      <c r="O54" s="187"/>
      <c r="P54" s="187">
        <v>4.752719868748019E-2</v>
      </c>
      <c r="Q54" s="187">
        <v>6.0969864651895495E-2</v>
      </c>
      <c r="R54" s="187"/>
      <c r="S54" s="187">
        <v>5.6209337605842132E-2</v>
      </c>
      <c r="T54" s="187">
        <v>5.1785883745086671E-2</v>
      </c>
      <c r="U54" s="187"/>
      <c r="V54" s="1138">
        <f t="shared" si="46"/>
        <v>6.3679787421892897E-2</v>
      </c>
      <c r="W54" s="1138">
        <f t="shared" si="47"/>
        <v>4.3432487669517003E-2</v>
      </c>
      <c r="Y54" s="1132">
        <v>15</v>
      </c>
      <c r="Z54" s="44">
        <v>74</v>
      </c>
      <c r="AA54" s="1135">
        <f t="shared" si="57"/>
        <v>6.3679787421892897E-2</v>
      </c>
      <c r="AB54" s="1135">
        <f t="shared" si="48"/>
        <v>4.3432487669517003E-2</v>
      </c>
      <c r="AC54" s="1132">
        <f t="shared" si="12"/>
        <v>14.5</v>
      </c>
      <c r="AD54" s="1133">
        <f t="shared" si="58"/>
        <v>37.5</v>
      </c>
      <c r="AE54" s="186">
        <f t="shared" si="49"/>
        <v>-2.8294455675668595</v>
      </c>
      <c r="AF54" s="40">
        <f t="shared" si="50"/>
        <v>1.2214721610900201</v>
      </c>
      <c r="AG54" s="13">
        <f t="shared" si="51"/>
        <v>43.750894883087959</v>
      </c>
      <c r="AH54" s="1132">
        <f t="shared" si="59"/>
        <v>1</v>
      </c>
      <c r="AI54" s="1132">
        <f t="shared" si="60"/>
        <v>1</v>
      </c>
      <c r="AJ54" s="187">
        <f t="shared" si="61"/>
        <v>1.2214721610900201</v>
      </c>
      <c r="AK54" s="1136">
        <f t="shared" si="52"/>
        <v>0.11864125424580231</v>
      </c>
      <c r="AR54" s="1132">
        <v>15</v>
      </c>
      <c r="AS54" s="44">
        <v>74</v>
      </c>
      <c r="AT54" s="1135">
        <f t="shared" si="19"/>
        <v>6.3679787421892897E-2</v>
      </c>
      <c r="AU54" s="1135">
        <f t="shared" si="6"/>
        <v>4.3432487669517003E-2</v>
      </c>
      <c r="AV54" s="1132">
        <f t="shared" si="20"/>
        <v>14.5</v>
      </c>
      <c r="AW54" s="1133">
        <f t="shared" si="62"/>
        <v>37.5</v>
      </c>
      <c r="AX54" s="186">
        <f t="shared" si="53"/>
        <v>-2.8294455675668595</v>
      </c>
      <c r="AY54" s="40">
        <f t="shared" si="54"/>
        <v>1.2214721610900201</v>
      </c>
      <c r="AZ54" s="13">
        <f t="shared" si="55"/>
        <v>43.750894883087959</v>
      </c>
      <c r="BA54" s="1132">
        <f t="shared" si="63"/>
        <v>1</v>
      </c>
      <c r="BB54" s="1132">
        <f t="shared" si="64"/>
        <v>1</v>
      </c>
      <c r="BC54" s="187">
        <f t="shared" si="65"/>
        <v>1.2214721610900201</v>
      </c>
      <c r="BD54" s="1136">
        <f t="shared" si="56"/>
        <v>0.11864125424580231</v>
      </c>
      <c r="BG54" s="1132"/>
      <c r="BH54" s="1132"/>
      <c r="BI54" s="1132"/>
    </row>
    <row r="55" spans="1:61" x14ac:dyDescent="0.2">
      <c r="A55" s="1135">
        <v>4.9388984727356797E-2</v>
      </c>
      <c r="B55" s="1135">
        <v>2.7787514279863729E-2</v>
      </c>
      <c r="C55" s="1135"/>
      <c r="D55" s="1135">
        <v>4.2080706916530486E-2</v>
      </c>
      <c r="E55" s="187">
        <v>3.8966730151583542E-2</v>
      </c>
      <c r="F55" s="187"/>
      <c r="G55" s="187">
        <v>4.3857413502848344E-2</v>
      </c>
      <c r="H55" s="187">
        <v>3.3829105252784E-2</v>
      </c>
      <c r="I55" s="187"/>
      <c r="J55" s="187">
        <v>4.1436253675182395E-2</v>
      </c>
      <c r="K55" s="187">
        <v>3.3788827445424524E-2</v>
      </c>
      <c r="L55" s="187"/>
      <c r="M55" s="187">
        <v>4.3365378158816414E-2</v>
      </c>
      <c r="N55" s="187">
        <v>3.1315474992807291E-2</v>
      </c>
      <c r="O55" s="187"/>
      <c r="P55" s="187">
        <v>2.7888607816049397E-2</v>
      </c>
      <c r="Q55" s="187">
        <v>4.7553595070659566E-2</v>
      </c>
      <c r="R55" s="187"/>
      <c r="S55" s="187">
        <v>3.8293614036661081E-2</v>
      </c>
      <c r="T55" s="187">
        <v>4.3184057380235681E-2</v>
      </c>
      <c r="U55" s="187"/>
      <c r="V55" s="1138">
        <f t="shared" si="46"/>
        <v>4.3857413502848344E-2</v>
      </c>
      <c r="W55" s="1138">
        <f t="shared" si="47"/>
        <v>3.3829105252784E-2</v>
      </c>
      <c r="Y55" s="1132">
        <v>16</v>
      </c>
      <c r="Z55" s="44">
        <v>74</v>
      </c>
      <c r="AA55" s="1135">
        <f t="shared" si="57"/>
        <v>4.3857413502848344E-2</v>
      </c>
      <c r="AB55" s="1135">
        <f t="shared" si="48"/>
        <v>3.3829105252784E-2</v>
      </c>
      <c r="AC55" s="1132">
        <f t="shared" si="12"/>
        <v>15.5</v>
      </c>
      <c r="AD55" s="1133">
        <f t="shared" si="58"/>
        <v>52.5</v>
      </c>
      <c r="AE55" s="186">
        <f t="shared" si="49"/>
        <v>-2.8294455675668595</v>
      </c>
      <c r="AF55" s="40">
        <f t="shared" si="50"/>
        <v>1.2726297949344596</v>
      </c>
      <c r="AG55" s="13">
        <f t="shared" si="51"/>
        <v>32.473527547734903</v>
      </c>
      <c r="AH55" s="1132">
        <f t="shared" si="59"/>
        <v>1</v>
      </c>
      <c r="AI55" s="1132">
        <f t="shared" si="60"/>
        <v>1</v>
      </c>
      <c r="AJ55" s="187">
        <f t="shared" si="61"/>
        <v>1.2726297949344596</v>
      </c>
      <c r="AK55" s="1136">
        <f t="shared" si="52"/>
        <v>8.7503924393454058E-2</v>
      </c>
      <c r="AR55" s="1132">
        <v>16</v>
      </c>
      <c r="AS55" s="44">
        <v>74</v>
      </c>
      <c r="AT55" s="1135">
        <f t="shared" si="19"/>
        <v>4.3857413502848344E-2</v>
      </c>
      <c r="AU55" s="1135">
        <f t="shared" si="6"/>
        <v>3.3829105252784E-2</v>
      </c>
      <c r="AV55" s="1132">
        <f t="shared" si="20"/>
        <v>15.5</v>
      </c>
      <c r="AW55" s="1133">
        <f t="shared" si="62"/>
        <v>52.5</v>
      </c>
      <c r="AX55" s="186">
        <f t="shared" si="53"/>
        <v>-2.8294455675668595</v>
      </c>
      <c r="AY55" s="40">
        <f t="shared" si="54"/>
        <v>1.2726297949344596</v>
      </c>
      <c r="AZ55" s="13">
        <f t="shared" si="55"/>
        <v>32.473527547734903</v>
      </c>
      <c r="BA55" s="1132">
        <f t="shared" si="63"/>
        <v>1</v>
      </c>
      <c r="BB55" s="1132">
        <f t="shared" si="64"/>
        <v>1</v>
      </c>
      <c r="BC55" s="187">
        <f t="shared" si="65"/>
        <v>1.2726297949344596</v>
      </c>
      <c r="BD55" s="1136">
        <f t="shared" si="56"/>
        <v>8.7503924393454058E-2</v>
      </c>
      <c r="BG55" s="1132"/>
      <c r="BH55" s="1132"/>
      <c r="BI55" s="1132"/>
    </row>
    <row r="56" spans="1:61" x14ac:dyDescent="0.2">
      <c r="A56" s="1135">
        <v>1.8892596435835435E-2</v>
      </c>
      <c r="B56" s="1135">
        <v>1.9965037052162779E-2</v>
      </c>
      <c r="C56" s="1135"/>
      <c r="D56" s="1135">
        <v>1.4912394930023767E-2</v>
      </c>
      <c r="E56" s="187">
        <v>2.7035976335332522E-2</v>
      </c>
      <c r="F56" s="187"/>
      <c r="G56" s="187">
        <v>1.6963164281979633E-2</v>
      </c>
      <c r="H56" s="187">
        <v>2.4086027409983665E-2</v>
      </c>
      <c r="I56" s="187"/>
      <c r="J56" s="187">
        <v>2.3106043294791531E-2</v>
      </c>
      <c r="K56" s="187">
        <v>2.2294837225599086E-2</v>
      </c>
      <c r="L56" s="187"/>
      <c r="M56" s="187">
        <v>1.7884536828568151E-2</v>
      </c>
      <c r="N56" s="187">
        <v>2.0587893089610086E-2</v>
      </c>
      <c r="O56" s="187"/>
      <c r="P56" s="187">
        <v>1.3251158819085663E-2</v>
      </c>
      <c r="Q56" s="187">
        <v>3.2075581401986797E-2</v>
      </c>
      <c r="R56" s="187"/>
      <c r="S56" s="187">
        <v>1.6692747348461566E-2</v>
      </c>
      <c r="T56" s="187">
        <v>2.9933523030898003E-2</v>
      </c>
      <c r="U56" s="187"/>
      <c r="V56" s="1138">
        <f t="shared" si="46"/>
        <v>1.6963164281979633E-2</v>
      </c>
      <c r="W56" s="1138">
        <f t="shared" si="47"/>
        <v>2.4086027409983665E-2</v>
      </c>
      <c r="Y56" s="1132">
        <v>17</v>
      </c>
      <c r="Z56" s="44">
        <v>74</v>
      </c>
      <c r="AA56" s="1135">
        <f t="shared" si="57"/>
        <v>1.6963164281979633E-2</v>
      </c>
      <c r="AB56" s="1135">
        <f t="shared" si="48"/>
        <v>2.4086027409983665E-2</v>
      </c>
      <c r="AC56" s="1132">
        <f t="shared" si="12"/>
        <v>16.5</v>
      </c>
      <c r="AD56" s="1133">
        <f t="shared" si="58"/>
        <v>67.5</v>
      </c>
      <c r="AE56" s="186">
        <f t="shared" si="49"/>
        <v>-2.8294455675668595</v>
      </c>
      <c r="AF56" s="40">
        <f t="shared" si="50"/>
        <v>1.3666151673266123</v>
      </c>
      <c r="AG56" s="13">
        <f t="shared" si="51"/>
        <v>20.336924722497297</v>
      </c>
      <c r="AH56" s="1132">
        <f t="shared" si="59"/>
        <v>1</v>
      </c>
      <c r="AI56" s="1132">
        <f t="shared" si="60"/>
        <v>1</v>
      </c>
      <c r="AJ56" s="187">
        <f t="shared" si="61"/>
        <v>1.3666151673266123</v>
      </c>
      <c r="AK56" s="1136">
        <f t="shared" si="52"/>
        <v>4.5411246046845898E-2</v>
      </c>
      <c r="AR56" s="1132">
        <v>17</v>
      </c>
      <c r="AS56" s="44">
        <v>74</v>
      </c>
      <c r="AT56" s="1135">
        <f t="shared" si="19"/>
        <v>1.6963164281979633E-2</v>
      </c>
      <c r="AU56" s="1135">
        <f t="shared" si="6"/>
        <v>2.4086027409983665E-2</v>
      </c>
      <c r="AV56" s="1132">
        <f t="shared" si="20"/>
        <v>16.5</v>
      </c>
      <c r="AW56" s="1133">
        <f t="shared" si="62"/>
        <v>67.5</v>
      </c>
      <c r="AX56" s="186">
        <f t="shared" si="53"/>
        <v>-2.8294455675668595</v>
      </c>
      <c r="AY56" s="40">
        <f t="shared" si="54"/>
        <v>1.3666151673266123</v>
      </c>
      <c r="AZ56" s="13">
        <f t="shared" si="55"/>
        <v>20.336924722497297</v>
      </c>
      <c r="BA56" s="1132">
        <f t="shared" si="63"/>
        <v>1</v>
      </c>
      <c r="BB56" s="1132">
        <f t="shared" si="64"/>
        <v>1</v>
      </c>
      <c r="BC56" s="187">
        <f t="shared" si="65"/>
        <v>1.3666151673266123</v>
      </c>
      <c r="BD56" s="1136">
        <f t="shared" si="56"/>
        <v>4.5411246046845898E-2</v>
      </c>
      <c r="BG56" s="1132"/>
      <c r="BH56" s="1132"/>
      <c r="BI56" s="1132"/>
    </row>
    <row r="57" spans="1:61" x14ac:dyDescent="0.2">
      <c r="A57" s="1135">
        <v>1.0432807306547868E-3</v>
      </c>
      <c r="B57" s="1135">
        <v>4.2597310959865157E-3</v>
      </c>
      <c r="C57" s="1135"/>
      <c r="D57" s="1135">
        <v>5.2126349564950473E-4</v>
      </c>
      <c r="E57" s="187">
        <v>5.5021771633017372E-3</v>
      </c>
      <c r="F57" s="187"/>
      <c r="G57" s="187">
        <v>6.9809018615320663E-4</v>
      </c>
      <c r="H57" s="187">
        <v>5.5344712963769525E-3</v>
      </c>
      <c r="I57" s="187"/>
      <c r="J57" s="187">
        <v>1.228615389302745E-2</v>
      </c>
      <c r="K57" s="187">
        <v>1.0995079444876073E-2</v>
      </c>
      <c r="L57" s="187"/>
      <c r="M57" s="187">
        <v>1.5744271398256435E-3</v>
      </c>
      <c r="N57" s="187">
        <v>6.4079633601341213E-3</v>
      </c>
      <c r="O57" s="187"/>
      <c r="P57" s="187">
        <v>1.4169919572210648E-3</v>
      </c>
      <c r="Q57" s="187">
        <v>8.7905500018873976E-3</v>
      </c>
      <c r="R57" s="187"/>
      <c r="S57" s="187">
        <v>1.7752150998490116E-3</v>
      </c>
      <c r="T57" s="187">
        <v>9.2846759069419877E-3</v>
      </c>
      <c r="U57" s="187"/>
      <c r="V57" s="1138">
        <f t="shared" si="46"/>
        <v>6.9809018615320663E-4</v>
      </c>
      <c r="W57" s="1138">
        <f t="shared" si="47"/>
        <v>5.5344712963769525E-3</v>
      </c>
      <c r="Y57" s="1132">
        <v>18</v>
      </c>
      <c r="Z57" s="44">
        <v>74</v>
      </c>
      <c r="AA57" s="1135">
        <f t="shared" si="57"/>
        <v>6.9809018615320663E-4</v>
      </c>
      <c r="AB57" s="1135">
        <f t="shared" si="48"/>
        <v>5.5344712963769525E-3</v>
      </c>
      <c r="AC57" s="1132">
        <f t="shared" si="12"/>
        <v>17.5</v>
      </c>
      <c r="AD57" s="1133">
        <f t="shared" si="58"/>
        <v>82.5</v>
      </c>
      <c r="AE57" s="186">
        <f t="shared" si="49"/>
        <v>-2.8294455675668595</v>
      </c>
      <c r="AF57" s="40">
        <f t="shared" si="50"/>
        <v>1.7156229335870992</v>
      </c>
      <c r="AG57" s="13">
        <f t="shared" si="51"/>
        <v>7.8348878270565763</v>
      </c>
      <c r="AH57" s="1132">
        <f t="shared" si="59"/>
        <v>1</v>
      </c>
      <c r="AI57" s="1132">
        <f t="shared" si="60"/>
        <v>1</v>
      </c>
      <c r="AJ57" s="187">
        <f t="shared" si="61"/>
        <v>1.7156229335870992</v>
      </c>
      <c r="AK57" s="1136">
        <f t="shared" si="52"/>
        <v>6.2306057746990048E-3</v>
      </c>
      <c r="AR57" s="1132">
        <v>18</v>
      </c>
      <c r="AS57" s="44">
        <v>74</v>
      </c>
      <c r="AT57" s="1135">
        <f t="shared" si="19"/>
        <v>6.9809018615320663E-4</v>
      </c>
      <c r="AU57" s="1135">
        <f t="shared" si="6"/>
        <v>5.5344712963769525E-3</v>
      </c>
      <c r="AV57" s="1132">
        <f t="shared" si="20"/>
        <v>17.5</v>
      </c>
      <c r="AW57" s="1133">
        <f t="shared" si="62"/>
        <v>82.5</v>
      </c>
      <c r="AX57" s="186">
        <f t="shared" si="53"/>
        <v>-2.8294455675668595</v>
      </c>
      <c r="AY57" s="40">
        <f t="shared" si="54"/>
        <v>1.7156229335870992</v>
      </c>
      <c r="AZ57" s="13">
        <f t="shared" si="55"/>
        <v>7.8348878270565763</v>
      </c>
      <c r="BA57" s="1132">
        <f t="shared" si="63"/>
        <v>1</v>
      </c>
      <c r="BB57" s="1132">
        <f t="shared" si="64"/>
        <v>1</v>
      </c>
      <c r="BC57" s="187">
        <f t="shared" si="65"/>
        <v>1.7156229335870992</v>
      </c>
      <c r="BD57" s="1136">
        <f t="shared" si="56"/>
        <v>6.2306057746990048E-3</v>
      </c>
      <c r="BG57" s="1132"/>
      <c r="BH57" s="1132"/>
      <c r="BI57" s="1132"/>
    </row>
    <row r="58" spans="1:61" x14ac:dyDescent="0.2">
      <c r="A58" s="1135">
        <v>0</v>
      </c>
      <c r="B58" s="1135">
        <v>1.905945499015997E-5</v>
      </c>
      <c r="C58" s="1135"/>
      <c r="D58" s="1135">
        <v>0</v>
      </c>
      <c r="E58" s="187">
        <v>4.7182989811065342E-5</v>
      </c>
      <c r="F58" s="187"/>
      <c r="G58" s="187">
        <v>0</v>
      </c>
      <c r="H58" s="187">
        <v>4.2458024235239926E-5</v>
      </c>
      <c r="I58" s="187"/>
      <c r="J58" s="187">
        <v>1.7519004311198467E-3</v>
      </c>
      <c r="K58" s="187">
        <v>4.2083695138857066E-3</v>
      </c>
      <c r="L58" s="187"/>
      <c r="M58" s="187">
        <v>1.7690713785498615E-5</v>
      </c>
      <c r="N58" s="187">
        <v>8.7412938704816632E-5</v>
      </c>
      <c r="O58" s="187"/>
      <c r="P58" s="187">
        <v>6.742402991556274E-6</v>
      </c>
      <c r="Q58" s="187">
        <v>1.1293525010856757E-4</v>
      </c>
      <c r="R58" s="187"/>
      <c r="S58" s="187">
        <v>1.3778179787996068E-4</v>
      </c>
      <c r="T58" s="187">
        <v>3.5985363681589742E-4</v>
      </c>
      <c r="U58" s="187"/>
      <c r="V58" s="1138">
        <f t="shared" si="46"/>
        <v>0</v>
      </c>
      <c r="W58" s="1138">
        <f t="shared" si="47"/>
        <v>4.2458024235239926E-5</v>
      </c>
      <c r="Y58" s="1132">
        <v>19</v>
      </c>
      <c r="Z58" s="44">
        <v>74</v>
      </c>
      <c r="AA58" s="1135">
        <f t="shared" si="57"/>
        <v>0</v>
      </c>
      <c r="AB58" s="1135">
        <f t="shared" si="48"/>
        <v>4.2458024235239926E-5</v>
      </c>
      <c r="AC58" s="1132">
        <f t="shared" si="12"/>
        <v>18.5</v>
      </c>
      <c r="AD58" s="1133">
        <f t="shared" si="58"/>
        <v>97.5</v>
      </c>
      <c r="AE58" s="186">
        <f t="shared" si="49"/>
        <v>-2.8294455675668595</v>
      </c>
      <c r="AF58" s="40">
        <f t="shared" si="50"/>
        <v>0.28568048054736006</v>
      </c>
      <c r="AG58" s="13">
        <f t="shared" si="51"/>
        <v>-4.7242358543481178</v>
      </c>
      <c r="AH58" s="1132">
        <f t="shared" si="59"/>
        <v>0</v>
      </c>
      <c r="AI58" s="1132">
        <f t="shared" si="60"/>
        <v>1</v>
      </c>
      <c r="AJ58" s="187">
        <f t="shared" si="61"/>
        <v>0</v>
      </c>
      <c r="AK58" s="1136">
        <f t="shared" si="52"/>
        <v>3.8485269284926905E-5</v>
      </c>
      <c r="AR58" s="1132">
        <v>19</v>
      </c>
      <c r="AS58" s="44">
        <v>74</v>
      </c>
      <c r="AT58" s="1135">
        <f t="shared" si="19"/>
        <v>0</v>
      </c>
      <c r="AU58" s="1135">
        <f t="shared" si="6"/>
        <v>4.2458024235239926E-5</v>
      </c>
      <c r="AV58" s="1132">
        <f t="shared" si="20"/>
        <v>18.5</v>
      </c>
      <c r="AW58" s="1133">
        <f t="shared" si="62"/>
        <v>97.5</v>
      </c>
      <c r="AX58" s="186">
        <f t="shared" si="53"/>
        <v>-2.8294455675668595</v>
      </c>
      <c r="AY58" s="40">
        <f t="shared" si="54"/>
        <v>0.28568048054736006</v>
      </c>
      <c r="AZ58" s="13">
        <f t="shared" si="55"/>
        <v>-4.7242358543481178</v>
      </c>
      <c r="BA58" s="1132">
        <f t="shared" si="63"/>
        <v>0</v>
      </c>
      <c r="BB58" s="1132">
        <f t="shared" si="64"/>
        <v>1</v>
      </c>
      <c r="BC58" s="187">
        <f t="shared" si="65"/>
        <v>0</v>
      </c>
      <c r="BD58" s="1136">
        <f t="shared" si="56"/>
        <v>3.8485269284926905E-5</v>
      </c>
      <c r="BG58" s="1132"/>
      <c r="BH58" s="1132"/>
      <c r="BI58" s="1132"/>
    </row>
    <row r="59" spans="1:61" x14ac:dyDescent="0.2">
      <c r="A59" s="1135">
        <v>0</v>
      </c>
      <c r="B59" s="1135">
        <v>0</v>
      </c>
      <c r="C59" s="1135"/>
      <c r="D59" s="1135">
        <v>0</v>
      </c>
      <c r="E59" s="187">
        <v>0</v>
      </c>
      <c r="F59" s="187"/>
      <c r="G59" s="187">
        <v>0</v>
      </c>
      <c r="H59" s="187">
        <v>0</v>
      </c>
      <c r="I59" s="187"/>
      <c r="J59" s="187">
        <v>0</v>
      </c>
      <c r="K59" s="187">
        <v>0</v>
      </c>
      <c r="L59" s="187"/>
      <c r="M59" s="187">
        <v>0</v>
      </c>
      <c r="N59" s="187">
        <v>0</v>
      </c>
      <c r="O59" s="187"/>
      <c r="P59" s="187">
        <v>0</v>
      </c>
      <c r="Q59" s="187">
        <v>0</v>
      </c>
      <c r="R59" s="187"/>
      <c r="S59" s="187">
        <v>0</v>
      </c>
      <c r="T59" s="187">
        <v>0</v>
      </c>
      <c r="U59" s="187"/>
      <c r="V59" s="1138">
        <f t="shared" si="46"/>
        <v>0</v>
      </c>
      <c r="W59" s="1138">
        <f t="shared" si="47"/>
        <v>0</v>
      </c>
      <c r="Y59" s="1132">
        <v>20</v>
      </c>
      <c r="Z59" s="44">
        <v>74</v>
      </c>
      <c r="AA59" s="1135">
        <f t="shared" si="57"/>
        <v>0</v>
      </c>
      <c r="AB59" s="1135">
        <f t="shared" si="48"/>
        <v>0</v>
      </c>
      <c r="AC59" s="1132">
        <f t="shared" si="12"/>
        <v>19.5</v>
      </c>
      <c r="AD59" s="1133">
        <f t="shared" si="58"/>
        <v>112.5</v>
      </c>
      <c r="AE59" s="186">
        <f t="shared" si="49"/>
        <v>-2.8294455675668595</v>
      </c>
      <c r="AF59" s="40">
        <f t="shared" si="50"/>
        <v>0.95270203122811403</v>
      </c>
      <c r="AG59" s="13">
        <f t="shared" si="51"/>
        <v>-17.073291547533032</v>
      </c>
      <c r="AH59" s="1132">
        <f t="shared" si="59"/>
        <v>0</v>
      </c>
      <c r="AI59" s="1132">
        <f t="shared" si="60"/>
        <v>1</v>
      </c>
      <c r="AJ59" s="187">
        <f t="shared" si="61"/>
        <v>0</v>
      </c>
      <c r="AK59" s="1136">
        <f t="shared" si="52"/>
        <v>0</v>
      </c>
      <c r="AR59" s="1132">
        <v>20</v>
      </c>
      <c r="AS59" s="44">
        <v>74</v>
      </c>
      <c r="AT59" s="1135">
        <f t="shared" si="19"/>
        <v>0</v>
      </c>
      <c r="AU59" s="1135">
        <f t="shared" si="6"/>
        <v>0</v>
      </c>
      <c r="AV59" s="1132">
        <f t="shared" si="20"/>
        <v>19.5</v>
      </c>
      <c r="AW59" s="1133">
        <f t="shared" si="62"/>
        <v>112.5</v>
      </c>
      <c r="AX59" s="186">
        <f t="shared" si="53"/>
        <v>-2.8294455675668595</v>
      </c>
      <c r="AY59" s="40">
        <f t="shared" si="54"/>
        <v>0.95270203122811403</v>
      </c>
      <c r="AZ59" s="13">
        <f t="shared" si="55"/>
        <v>-17.073291547533032</v>
      </c>
      <c r="BA59" s="1132">
        <f t="shared" si="63"/>
        <v>0</v>
      </c>
      <c r="BB59" s="1132">
        <f t="shared" si="64"/>
        <v>1</v>
      </c>
      <c r="BC59" s="187">
        <f t="shared" si="65"/>
        <v>0</v>
      </c>
      <c r="BD59" s="1136">
        <f t="shared" si="56"/>
        <v>0</v>
      </c>
      <c r="BG59" s="1132"/>
      <c r="BH59" s="1132"/>
      <c r="BI59" s="1132"/>
    </row>
    <row r="60" spans="1:61" x14ac:dyDescent="0.2">
      <c r="A60" s="1135"/>
      <c r="B60" s="1135"/>
      <c r="C60" s="1135"/>
      <c r="D60" s="1135"/>
      <c r="E60" s="187"/>
      <c r="F60" s="187"/>
      <c r="G60" s="187"/>
      <c r="H60" s="187"/>
      <c r="I60" s="187"/>
      <c r="J60" s="187"/>
      <c r="K60" s="187"/>
      <c r="L60" s="187"/>
      <c r="M60" s="187"/>
      <c r="N60" s="187"/>
      <c r="O60" s="187"/>
      <c r="P60" s="187"/>
      <c r="Q60" s="187"/>
      <c r="R60" s="187"/>
      <c r="S60" s="187"/>
      <c r="T60" s="187"/>
      <c r="U60" s="187"/>
      <c r="V60" s="1138"/>
      <c r="W60" s="1138"/>
      <c r="Y60" s="11"/>
      <c r="Z60" s="1139"/>
      <c r="AA60" s="11"/>
      <c r="AC60" s="1132">
        <f t="shared" si="12"/>
        <v>-0.5</v>
      </c>
      <c r="AF60" s="187"/>
      <c r="AK60" s="187">
        <f>SUM(AK44:AK59)</f>
        <v>1.0490457490914806</v>
      </c>
      <c r="AR60" s="11"/>
      <c r="AS60" s="1139"/>
      <c r="AT60" s="1135"/>
      <c r="AU60" s="1135"/>
      <c r="AV60" s="1132">
        <f t="shared" si="20"/>
        <v>-0.5</v>
      </c>
      <c r="AY60" s="40"/>
      <c r="BD60" s="187">
        <f>SUM(BD44:BD59)</f>
        <v>1.0490457490914806</v>
      </c>
      <c r="BG60" s="1132"/>
      <c r="BH60" s="1132"/>
      <c r="BI60" s="1132"/>
    </row>
    <row r="61" spans="1:61" x14ac:dyDescent="0.2">
      <c r="A61" s="1135" t="s">
        <v>1259</v>
      </c>
      <c r="B61" s="1135"/>
      <c r="C61" s="1135"/>
      <c r="D61" s="1135" t="s">
        <v>1259</v>
      </c>
      <c r="E61" s="187"/>
      <c r="F61" s="187"/>
      <c r="G61" s="187" t="s">
        <v>1259</v>
      </c>
      <c r="H61" s="187"/>
      <c r="I61" s="187"/>
      <c r="J61" s="187" t="s">
        <v>1259</v>
      </c>
      <c r="K61" s="187"/>
      <c r="L61" s="187"/>
      <c r="M61" s="187" t="s">
        <v>1259</v>
      </c>
      <c r="N61" s="187"/>
      <c r="O61" s="187"/>
      <c r="P61" s="187" t="s">
        <v>1259</v>
      </c>
      <c r="Q61" s="187"/>
      <c r="R61" s="187"/>
      <c r="S61" s="187" t="s">
        <v>1259</v>
      </c>
      <c r="T61" s="187"/>
      <c r="U61" s="187"/>
      <c r="V61" s="1138"/>
      <c r="W61" s="1138"/>
      <c r="Z61" s="44"/>
      <c r="AC61" s="1132">
        <f t="shared" si="12"/>
        <v>-0.5</v>
      </c>
      <c r="AS61" s="44"/>
      <c r="AT61" s="1135"/>
      <c r="AU61" s="1135"/>
      <c r="AV61" s="1132">
        <f t="shared" si="20"/>
        <v>-0.5</v>
      </c>
      <c r="AY61" s="40"/>
      <c r="BG61" s="1132"/>
      <c r="BH61" s="1132"/>
      <c r="BI61" s="1132"/>
    </row>
    <row r="62" spans="1:61" x14ac:dyDescent="0.2">
      <c r="A62" s="1135">
        <v>0</v>
      </c>
      <c r="B62" s="1135">
        <v>0</v>
      </c>
      <c r="C62" s="1135"/>
      <c r="D62" s="1135">
        <v>0</v>
      </c>
      <c r="E62" s="187">
        <v>0</v>
      </c>
      <c r="F62" s="187"/>
      <c r="G62" s="187">
        <v>0</v>
      </c>
      <c r="H62" s="187">
        <v>0</v>
      </c>
      <c r="I62" s="187"/>
      <c r="J62" s="187">
        <v>0</v>
      </c>
      <c r="K62" s="187">
        <v>0</v>
      </c>
      <c r="L62" s="187"/>
      <c r="M62" s="187">
        <v>0</v>
      </c>
      <c r="N62" s="187">
        <v>0</v>
      </c>
      <c r="O62" s="187"/>
      <c r="P62" s="187">
        <v>0</v>
      </c>
      <c r="Q62" s="187">
        <v>0</v>
      </c>
      <c r="R62" s="187"/>
      <c r="S62" s="187">
        <v>0</v>
      </c>
      <c r="T62" s="187">
        <v>0</v>
      </c>
      <c r="U62" s="187"/>
      <c r="V62" s="1138">
        <f t="shared" ref="V62:V77" si="66">CHOOSE($B$1,A62,D62,G62,J62,M62,P62,S62)</f>
        <v>0</v>
      </c>
      <c r="W62" s="1138">
        <f t="shared" ref="W62:W77" si="67">CHOOSE($B$1,B62,E62,H62,K62,N62,Q62,T62)</f>
        <v>0</v>
      </c>
      <c r="Y62" s="1132">
        <v>5</v>
      </c>
      <c r="Z62" s="44">
        <v>105</v>
      </c>
      <c r="AA62" s="1135">
        <f>V62</f>
        <v>0</v>
      </c>
      <c r="AB62" s="1135">
        <f t="shared" ref="AB62:AB77" si="68">W62</f>
        <v>0</v>
      </c>
      <c r="AC62" s="1132">
        <f t="shared" si="12"/>
        <v>4.5</v>
      </c>
      <c r="AD62" s="1133">
        <f>15*(AC62-12)</f>
        <v>-112.5</v>
      </c>
      <c r="AE62" s="186">
        <f t="shared" ref="AE62:AE77" si="69">23.45*SIN(360*(284+Z62)/365/57.3)</f>
        <v>9.4042992133082119</v>
      </c>
      <c r="AF62" s="40">
        <f t="shared" ref="AF62:AF77" si="70">((SIN(AE62/57.3)*SIN($B$2/57.3)*COS($Z$2/57.3))-SIN(AE62/57.3)*COS($B$2/57.3)*SIN($Z$2/57.3)*COS($Z$3/57.3)+COS(AE62/57.3)*COS($B$2/57.3)*COS($Z$2/57.3)*COS(AD62/57.3)+COS(AE62/57.3)*SIN($B$2/57.3)*SIN($Z$2/57.3)*COS($Z$3/57.3)*COS(AD62/57.3)+COS(AE62/57.3)*SIN($Z$2/57.3)*SIN($Z$3/57.3)*SIN(AD62/57.3))/(COS($B$2/57.3)*COS(AE62/57.3)*COS(AD62/57.3)+SIN($B$2/57.3)*SIN(AE62/57.3))</f>
        <v>1.124202078080542</v>
      </c>
      <c r="AG62" s="13">
        <f t="shared" ref="AG62:AG77" si="71">57.3*ASIN(SIN($B$2/57.3)*SIN(AE62/57.3)+COS($B$2/57.3)*COS(AD62/57.3)*COS(AE62/57.6))</f>
        <v>-23.927798248029561</v>
      </c>
      <c r="AH62" s="1132">
        <f>IF(AG62&lt;0,0,1)</f>
        <v>0</v>
      </c>
      <c r="AI62" s="1132">
        <f>IF(AF62&lt;0,0,1)</f>
        <v>1</v>
      </c>
      <c r="AJ62" s="187">
        <f>AF62*AI62*AH62</f>
        <v>0</v>
      </c>
      <c r="AK62" s="1136">
        <f t="shared" ref="AK62:AK77" si="72">AA62*AJ62+((1+COS($Z$2/57.3))/2)*AB62+((1-COS($Z$2/57.3))/2)*(AA62+AB62)*0.2</f>
        <v>0</v>
      </c>
      <c r="AR62" s="1132">
        <v>5</v>
      </c>
      <c r="AS62" s="44">
        <v>105</v>
      </c>
      <c r="AT62" s="1135">
        <f t="shared" si="19"/>
        <v>0</v>
      </c>
      <c r="AU62" s="1135">
        <f t="shared" si="6"/>
        <v>0</v>
      </c>
      <c r="AV62" s="1132">
        <f t="shared" si="20"/>
        <v>4.5</v>
      </c>
      <c r="AW62" s="1133">
        <f>15*(AV62-12)</f>
        <v>-112.5</v>
      </c>
      <c r="AX62" s="186">
        <f t="shared" ref="AX62:AX77" si="73">23.45*SIN(360*(284+AS62)/365/57.3)</f>
        <v>9.4042992133082119</v>
      </c>
      <c r="AY62" s="40">
        <f t="shared" ref="AY62:AY77" si="74">((SIN(AX62/57.3)*SIN($B$2/57.3)*COS($AS$2/57.3))-SIN(AX62/57.3)*COS($B$2/57.3)*SIN($AS$2/57.3)*COS($AS$3/57.3)+COS(AX62/57.3)*COS($B$2/57.3)*COS($AS$2/57.3)*COS(AW62/57.3)+COS(AX62/57.3)*SIN($B$2/57.3)*SIN($AS$2/57.3)*COS($AS$3/57.3)*COS(AW62/57.3)+COS(AX62/57.3)*SIN($AS$2/57.3)*SIN($AS$3/57.3)*SIN(AW62/57.3))/(COS($B$2/57.3)*COS(AX62/57.3)*COS(AW62/57.3)+SIN($B$2/57.3)*SIN(AX62/57.3))</f>
        <v>1.124202078080542</v>
      </c>
      <c r="AZ62" s="13">
        <f t="shared" ref="AZ62:AZ77" si="75">57.3*ASIN(SIN($B$2/57.3)*SIN(AX62/57.3)+COS($B$2/57.3)*COS(AW62/57.3)*COS(AX62/57.6))</f>
        <v>-23.927798248029561</v>
      </c>
      <c r="BA62" s="1132">
        <f>IF(AZ62&lt;0,0,1)</f>
        <v>0</v>
      </c>
      <c r="BB62" s="1132">
        <f>IF(AY62&lt;0,0,1)</f>
        <v>1</v>
      </c>
      <c r="BC62" s="187">
        <f>AY62*BB62*BA62</f>
        <v>0</v>
      </c>
      <c r="BD62" s="1136">
        <f t="shared" ref="BD62:BD77" si="76">AT62*BC62+((1+COS($Z$2/57.3))/2)*AU62+((1-COS($Z$2/57.3))/2)*(AT62+AU62)*0.2</f>
        <v>0</v>
      </c>
      <c r="BG62" s="1132"/>
      <c r="BH62" s="1132"/>
      <c r="BI62" s="1132"/>
    </row>
    <row r="63" spans="1:61" x14ac:dyDescent="0.2">
      <c r="A63" s="1135">
        <v>0</v>
      </c>
      <c r="B63" s="1135">
        <v>0</v>
      </c>
      <c r="C63" s="1135"/>
      <c r="D63" s="1135">
        <v>0</v>
      </c>
      <c r="E63" s="187">
        <v>0</v>
      </c>
      <c r="F63" s="187"/>
      <c r="G63" s="187">
        <v>0</v>
      </c>
      <c r="H63" s="187">
        <v>0</v>
      </c>
      <c r="I63" s="187"/>
      <c r="J63" s="187">
        <v>1.1672856227010683E-18</v>
      </c>
      <c r="K63" s="187">
        <v>4.5591015234070967E-4</v>
      </c>
      <c r="L63" s="187"/>
      <c r="M63" s="187">
        <v>0</v>
      </c>
      <c r="N63" s="187">
        <v>0</v>
      </c>
      <c r="O63" s="187"/>
      <c r="P63" s="187">
        <v>0</v>
      </c>
      <c r="Q63" s="187">
        <v>0</v>
      </c>
      <c r="R63" s="187"/>
      <c r="S63" s="187">
        <v>0</v>
      </c>
      <c r="T63" s="187">
        <v>0</v>
      </c>
      <c r="U63" s="187"/>
      <c r="V63" s="1138">
        <f t="shared" si="66"/>
        <v>0</v>
      </c>
      <c r="W63" s="1138">
        <f t="shared" si="67"/>
        <v>0</v>
      </c>
      <c r="Y63" s="1132">
        <v>6</v>
      </c>
      <c r="Z63" s="44">
        <v>105</v>
      </c>
      <c r="AA63" s="1135">
        <f t="shared" ref="AA63:AA77" si="77">V63</f>
        <v>0</v>
      </c>
      <c r="AB63" s="1135">
        <f t="shared" si="68"/>
        <v>0</v>
      </c>
      <c r="AC63" s="1132">
        <f t="shared" si="12"/>
        <v>5.5</v>
      </c>
      <c r="AD63" s="1133">
        <f t="shared" ref="AD63:AD77" si="78">15*(AC63-12)</f>
        <v>-97.5</v>
      </c>
      <c r="AE63" s="186">
        <f t="shared" si="69"/>
        <v>9.4042992133082119</v>
      </c>
      <c r="AF63" s="40">
        <f t="shared" si="70"/>
        <v>1.1059726339385481</v>
      </c>
      <c r="AG63" s="13">
        <f t="shared" si="71"/>
        <v>-11.356253720875513</v>
      </c>
      <c r="AH63" s="1132">
        <f t="shared" ref="AH63:AH77" si="79">IF(AG63&lt;0,0,1)</f>
        <v>0</v>
      </c>
      <c r="AI63" s="1132">
        <f t="shared" ref="AI63:AI77" si="80">IF(AF63&lt;0,0,1)</f>
        <v>1</v>
      </c>
      <c r="AJ63" s="187">
        <f t="shared" ref="AJ63:AJ77" si="81">AF63*AI63*AH63</f>
        <v>0</v>
      </c>
      <c r="AK63" s="1136">
        <f t="shared" si="72"/>
        <v>0</v>
      </c>
      <c r="AR63" s="1132">
        <v>6</v>
      </c>
      <c r="AS63" s="44">
        <v>105</v>
      </c>
      <c r="AT63" s="1135">
        <f t="shared" si="19"/>
        <v>0</v>
      </c>
      <c r="AU63" s="1135">
        <f t="shared" si="6"/>
        <v>0</v>
      </c>
      <c r="AV63" s="1132">
        <f t="shared" si="20"/>
        <v>5.5</v>
      </c>
      <c r="AW63" s="1133">
        <f t="shared" ref="AW63:AW77" si="82">15*(AV63-12)</f>
        <v>-97.5</v>
      </c>
      <c r="AX63" s="186">
        <f t="shared" si="73"/>
        <v>9.4042992133082119</v>
      </c>
      <c r="AY63" s="40">
        <f t="shared" si="74"/>
        <v>1.1059726339385481</v>
      </c>
      <c r="AZ63" s="13">
        <f t="shared" si="75"/>
        <v>-11.356253720875513</v>
      </c>
      <c r="BA63" s="1132">
        <f t="shared" ref="BA63:BA77" si="83">IF(AZ63&lt;0,0,1)</f>
        <v>0</v>
      </c>
      <c r="BB63" s="1132">
        <f t="shared" ref="BB63:BB77" si="84">IF(AY63&lt;0,0,1)</f>
        <v>1</v>
      </c>
      <c r="BC63" s="187">
        <f t="shared" ref="BC63:BC77" si="85">AY63*BB63*BA63</f>
        <v>0</v>
      </c>
      <c r="BD63" s="1136">
        <f t="shared" si="76"/>
        <v>0</v>
      </c>
      <c r="BG63" s="1132"/>
      <c r="BH63" s="1132"/>
      <c r="BI63" s="1132"/>
    </row>
    <row r="64" spans="1:61" x14ac:dyDescent="0.2">
      <c r="A64" s="1135">
        <v>2.3216544111077215E-4</v>
      </c>
      <c r="B64" s="1135">
        <v>2.025778453599109E-3</v>
      </c>
      <c r="C64" s="1135"/>
      <c r="D64" s="1135">
        <v>1.5929191611826674E-4</v>
      </c>
      <c r="E64" s="187">
        <v>1.6808615732062944E-3</v>
      </c>
      <c r="F64" s="187"/>
      <c r="G64" s="187">
        <v>5.6292491473122591E-5</v>
      </c>
      <c r="H64" s="187">
        <v>1.4260764506524393E-3</v>
      </c>
      <c r="I64" s="187"/>
      <c r="J64" s="187">
        <v>5.1484487935060594E-3</v>
      </c>
      <c r="K64" s="187">
        <v>8.5177360169020264E-3</v>
      </c>
      <c r="L64" s="187"/>
      <c r="M64" s="187">
        <v>6.1288672340980904E-5</v>
      </c>
      <c r="N64" s="187">
        <v>1.0769295282772354E-3</v>
      </c>
      <c r="O64" s="187"/>
      <c r="P64" s="187">
        <v>1.8725075081708962E-5</v>
      </c>
      <c r="Q64" s="187">
        <v>8.5433155060297137E-4</v>
      </c>
      <c r="R64" s="187"/>
      <c r="S64" s="187">
        <v>1.8445138906186399E-5</v>
      </c>
      <c r="T64" s="187">
        <v>3.2278993085826192E-4</v>
      </c>
      <c r="U64" s="187"/>
      <c r="V64" s="1138">
        <f t="shared" si="66"/>
        <v>5.6292491473122591E-5</v>
      </c>
      <c r="W64" s="1138">
        <f t="shared" si="67"/>
        <v>1.4260764506524393E-3</v>
      </c>
      <c r="Y64" s="1132">
        <v>7</v>
      </c>
      <c r="Z64" s="44">
        <v>105</v>
      </c>
      <c r="AA64" s="1135">
        <f t="shared" si="77"/>
        <v>5.6292491473122591E-5</v>
      </c>
      <c r="AB64" s="1135">
        <f t="shared" si="68"/>
        <v>1.4260764506524393E-3</v>
      </c>
      <c r="AC64" s="1132">
        <f t="shared" si="12"/>
        <v>6.5</v>
      </c>
      <c r="AD64" s="1133">
        <f t="shared" si="78"/>
        <v>-82.5</v>
      </c>
      <c r="AE64" s="186">
        <f t="shared" si="69"/>
        <v>9.4042992133082119</v>
      </c>
      <c r="AF64" s="40">
        <f t="shared" si="70"/>
        <v>1.9100844611487657</v>
      </c>
      <c r="AG64" s="13">
        <f t="shared" si="71"/>
        <v>1.0956978832671482</v>
      </c>
      <c r="AH64" s="1132">
        <f t="shared" si="79"/>
        <v>1</v>
      </c>
      <c r="AI64" s="1132">
        <f t="shared" si="80"/>
        <v>1</v>
      </c>
      <c r="AJ64" s="187">
        <f t="shared" si="81"/>
        <v>1.9100844611487657</v>
      </c>
      <c r="AK64" s="1136">
        <f t="shared" si="72"/>
        <v>1.4014801218351688E-3</v>
      </c>
      <c r="AR64" s="1132">
        <v>7</v>
      </c>
      <c r="AS64" s="44">
        <v>105</v>
      </c>
      <c r="AT64" s="1135">
        <f t="shared" si="19"/>
        <v>5.6292491473122591E-5</v>
      </c>
      <c r="AU64" s="1135">
        <f t="shared" si="6"/>
        <v>1.4260764506524393E-3</v>
      </c>
      <c r="AV64" s="1132">
        <f t="shared" si="20"/>
        <v>6.5</v>
      </c>
      <c r="AW64" s="1133">
        <f t="shared" si="82"/>
        <v>-82.5</v>
      </c>
      <c r="AX64" s="186">
        <f t="shared" si="73"/>
        <v>9.4042992133082119</v>
      </c>
      <c r="AY64" s="40">
        <f t="shared" si="74"/>
        <v>1.9100844611487657</v>
      </c>
      <c r="AZ64" s="13">
        <f t="shared" si="75"/>
        <v>1.0956978832671482</v>
      </c>
      <c r="BA64" s="1132">
        <f t="shared" si="83"/>
        <v>1</v>
      </c>
      <c r="BB64" s="1132">
        <f t="shared" si="84"/>
        <v>1</v>
      </c>
      <c r="BC64" s="187">
        <f t="shared" si="85"/>
        <v>1.9100844611487657</v>
      </c>
      <c r="BD64" s="1136">
        <f t="shared" si="76"/>
        <v>1.4014801218351688E-3</v>
      </c>
      <c r="BG64" s="1132"/>
      <c r="BH64" s="1132"/>
      <c r="BI64" s="1132"/>
    </row>
    <row r="65" spans="1:61" x14ac:dyDescent="0.2">
      <c r="A65" s="1135">
        <v>1.5701827939441065E-2</v>
      </c>
      <c r="B65" s="1135">
        <v>2.0169189430362541E-2</v>
      </c>
      <c r="C65" s="1135"/>
      <c r="D65" s="1135">
        <v>1.2746360087389226E-2</v>
      </c>
      <c r="E65" s="187">
        <v>2.4534066132440524E-2</v>
      </c>
      <c r="F65" s="187"/>
      <c r="G65" s="187">
        <v>8.235495574214876E-3</v>
      </c>
      <c r="H65" s="187">
        <v>2.1458903076982491E-2</v>
      </c>
      <c r="I65" s="187"/>
      <c r="J65" s="187">
        <v>1.4138774602468597E-2</v>
      </c>
      <c r="K65" s="187">
        <v>2.035472033804071E-2</v>
      </c>
      <c r="L65" s="187"/>
      <c r="M65" s="187">
        <v>6.1446271784143421E-3</v>
      </c>
      <c r="N65" s="187">
        <v>2.2377369824154145E-2</v>
      </c>
      <c r="O65" s="187"/>
      <c r="P65" s="187">
        <v>5.7562412923086604E-3</v>
      </c>
      <c r="Q65" s="187">
        <v>2.4173058639636803E-2</v>
      </c>
      <c r="R65" s="187"/>
      <c r="S65" s="187">
        <v>3.3671454033971397E-3</v>
      </c>
      <c r="T65" s="187">
        <v>1.5075318638666645E-2</v>
      </c>
      <c r="U65" s="187"/>
      <c r="V65" s="1138">
        <f t="shared" si="66"/>
        <v>8.235495574214876E-3</v>
      </c>
      <c r="W65" s="1138">
        <f t="shared" si="67"/>
        <v>2.1458903076982491E-2</v>
      </c>
      <c r="Y65" s="1132">
        <v>8</v>
      </c>
      <c r="Z65" s="44">
        <v>105</v>
      </c>
      <c r="AA65" s="1135">
        <f t="shared" si="77"/>
        <v>8.235495574214876E-3</v>
      </c>
      <c r="AB65" s="1135">
        <f t="shared" si="68"/>
        <v>2.1458903076982491E-2</v>
      </c>
      <c r="AC65" s="1132">
        <f t="shared" si="12"/>
        <v>7.5</v>
      </c>
      <c r="AD65" s="1133">
        <f t="shared" si="78"/>
        <v>-67.5</v>
      </c>
      <c r="AE65" s="186">
        <f t="shared" si="69"/>
        <v>9.4042992133082119</v>
      </c>
      <c r="AF65" s="40">
        <f t="shared" si="70"/>
        <v>1.271304266872441</v>
      </c>
      <c r="AG65" s="13">
        <f t="shared" si="71"/>
        <v>13.166817082494628</v>
      </c>
      <c r="AH65" s="1132">
        <f t="shared" si="79"/>
        <v>1</v>
      </c>
      <c r="AI65" s="1132">
        <f t="shared" si="80"/>
        <v>1</v>
      </c>
      <c r="AJ65" s="187">
        <f t="shared" si="81"/>
        <v>1.271304266872441</v>
      </c>
      <c r="AK65" s="1136">
        <f t="shared" si="72"/>
        <v>3.0113482372777806E-2</v>
      </c>
      <c r="AR65" s="1132">
        <v>8</v>
      </c>
      <c r="AS65" s="44">
        <v>105</v>
      </c>
      <c r="AT65" s="1135">
        <f t="shared" si="19"/>
        <v>8.235495574214876E-3</v>
      </c>
      <c r="AU65" s="1135">
        <f t="shared" si="6"/>
        <v>2.1458903076982491E-2</v>
      </c>
      <c r="AV65" s="1132">
        <f t="shared" si="20"/>
        <v>7.5</v>
      </c>
      <c r="AW65" s="1133">
        <f t="shared" si="82"/>
        <v>-67.5</v>
      </c>
      <c r="AX65" s="186">
        <f t="shared" si="73"/>
        <v>9.4042992133082119</v>
      </c>
      <c r="AY65" s="40">
        <f t="shared" si="74"/>
        <v>1.271304266872441</v>
      </c>
      <c r="AZ65" s="13">
        <f t="shared" si="75"/>
        <v>13.166817082494628</v>
      </c>
      <c r="BA65" s="1132">
        <f t="shared" si="83"/>
        <v>1</v>
      </c>
      <c r="BB65" s="1132">
        <f t="shared" si="84"/>
        <v>1</v>
      </c>
      <c r="BC65" s="187">
        <f t="shared" si="85"/>
        <v>1.271304266872441</v>
      </c>
      <c r="BD65" s="1136">
        <f t="shared" si="76"/>
        <v>3.0113482372777806E-2</v>
      </c>
      <c r="BG65" s="1132"/>
      <c r="BH65" s="1132"/>
      <c r="BI65" s="1132"/>
    </row>
    <row r="66" spans="1:61" x14ac:dyDescent="0.2">
      <c r="A66" s="1135">
        <v>4.3925544934745347E-2</v>
      </c>
      <c r="B66" s="1135">
        <v>3.1062843055228544E-2</v>
      </c>
      <c r="C66" s="1135"/>
      <c r="D66" s="1135">
        <v>3.9379820529608048E-2</v>
      </c>
      <c r="E66" s="187">
        <v>4.0806853855716078E-2</v>
      </c>
      <c r="F66" s="187"/>
      <c r="G66" s="187">
        <v>2.8571169522413002E-2</v>
      </c>
      <c r="H66" s="187">
        <v>4.0281401525178506E-2</v>
      </c>
      <c r="I66" s="187"/>
      <c r="J66" s="187">
        <v>2.6503947514733679E-2</v>
      </c>
      <c r="K66" s="187">
        <v>4.0815078394306696E-2</v>
      </c>
      <c r="L66" s="187"/>
      <c r="M66" s="187">
        <v>2.9389497279100875E-2</v>
      </c>
      <c r="N66" s="187">
        <v>4.1834951023396724E-2</v>
      </c>
      <c r="O66" s="187"/>
      <c r="P66" s="187">
        <v>1.8436798959962329E-2</v>
      </c>
      <c r="Q66" s="187">
        <v>4.9416947718598496E-2</v>
      </c>
      <c r="R66" s="187"/>
      <c r="S66" s="187">
        <v>2.3847173945856129E-2</v>
      </c>
      <c r="T66" s="187">
        <v>4.0626549274718024E-2</v>
      </c>
      <c r="U66" s="187"/>
      <c r="V66" s="1138">
        <f t="shared" si="66"/>
        <v>2.8571169522413002E-2</v>
      </c>
      <c r="W66" s="1138">
        <f t="shared" si="67"/>
        <v>4.0281401525178506E-2</v>
      </c>
      <c r="Y66" s="1132">
        <v>9</v>
      </c>
      <c r="Z66" s="44">
        <v>105</v>
      </c>
      <c r="AA66" s="1135">
        <f t="shared" si="77"/>
        <v>2.8571169522413002E-2</v>
      </c>
      <c r="AB66" s="1135">
        <f t="shared" si="68"/>
        <v>4.0281401525178506E-2</v>
      </c>
      <c r="AC66" s="1132">
        <f t="shared" si="12"/>
        <v>8.5</v>
      </c>
      <c r="AD66" s="1133">
        <f t="shared" si="78"/>
        <v>-52.5</v>
      </c>
      <c r="AE66" s="186">
        <f t="shared" si="69"/>
        <v>9.4042992133082119</v>
      </c>
      <c r="AF66" s="40">
        <f t="shared" si="70"/>
        <v>1.263514161409427</v>
      </c>
      <c r="AG66" s="13">
        <f t="shared" si="71"/>
        <v>24.51086132473764</v>
      </c>
      <c r="AH66" s="1132">
        <f t="shared" si="79"/>
        <v>1</v>
      </c>
      <c r="AI66" s="1132">
        <f t="shared" si="80"/>
        <v>1</v>
      </c>
      <c r="AJ66" s="187">
        <f t="shared" si="81"/>
        <v>1.263514161409427</v>
      </c>
      <c r="AK66" s="1136">
        <f t="shared" si="72"/>
        <v>7.3280732242783669E-2</v>
      </c>
      <c r="AR66" s="1132">
        <v>9</v>
      </c>
      <c r="AS66" s="44">
        <v>105</v>
      </c>
      <c r="AT66" s="1135">
        <f t="shared" si="19"/>
        <v>2.8571169522413002E-2</v>
      </c>
      <c r="AU66" s="1135">
        <f t="shared" ref="AU66:AU123" si="86">W66</f>
        <v>4.0281401525178506E-2</v>
      </c>
      <c r="AV66" s="1132">
        <f t="shared" si="20"/>
        <v>8.5</v>
      </c>
      <c r="AW66" s="1133">
        <f t="shared" si="82"/>
        <v>-52.5</v>
      </c>
      <c r="AX66" s="186">
        <f t="shared" si="73"/>
        <v>9.4042992133082119</v>
      </c>
      <c r="AY66" s="40">
        <f t="shared" si="74"/>
        <v>1.263514161409427</v>
      </c>
      <c r="AZ66" s="13">
        <f t="shared" si="75"/>
        <v>24.51086132473764</v>
      </c>
      <c r="BA66" s="1132">
        <f t="shared" si="83"/>
        <v>1</v>
      </c>
      <c r="BB66" s="1132">
        <f t="shared" si="84"/>
        <v>1</v>
      </c>
      <c r="BC66" s="187">
        <f t="shared" si="85"/>
        <v>1.263514161409427</v>
      </c>
      <c r="BD66" s="1136">
        <f t="shared" si="76"/>
        <v>7.3280732242783669E-2</v>
      </c>
      <c r="BG66" s="1132"/>
      <c r="BH66" s="1132"/>
      <c r="BI66" s="1132"/>
    </row>
    <row r="67" spans="1:61" x14ac:dyDescent="0.2">
      <c r="A67" s="1135">
        <v>6.8007196817280541E-2</v>
      </c>
      <c r="B67" s="1135">
        <v>4.1017694328338045E-2</v>
      </c>
      <c r="C67" s="1135"/>
      <c r="D67" s="1135">
        <v>5.7555819733274172E-2</v>
      </c>
      <c r="E67" s="187">
        <v>6.1710683878692302E-2</v>
      </c>
      <c r="F67" s="187"/>
      <c r="G67" s="187">
        <v>5.6480133111366335E-2</v>
      </c>
      <c r="H67" s="187">
        <v>5.2835194288481636E-2</v>
      </c>
      <c r="I67" s="187"/>
      <c r="J67" s="187">
        <v>4.7031024129878779E-2</v>
      </c>
      <c r="K67" s="187">
        <v>5.7127766040253582E-2</v>
      </c>
      <c r="L67" s="187"/>
      <c r="M67" s="187">
        <v>5.0871349147938186E-2</v>
      </c>
      <c r="N67" s="187">
        <v>5.4722028875875822E-2</v>
      </c>
      <c r="O67" s="187"/>
      <c r="P67" s="187">
        <v>4.2091628149296539E-2</v>
      </c>
      <c r="Q67" s="187">
        <v>6.9458325381214187E-2</v>
      </c>
      <c r="R67" s="187"/>
      <c r="S67" s="187">
        <v>5.0979014320503113E-2</v>
      </c>
      <c r="T67" s="187">
        <v>6.3659855772120716E-2</v>
      </c>
      <c r="U67" s="187"/>
      <c r="V67" s="1138">
        <f t="shared" si="66"/>
        <v>5.6480133111366335E-2</v>
      </c>
      <c r="W67" s="1138">
        <f t="shared" si="67"/>
        <v>5.2835194288481636E-2</v>
      </c>
      <c r="Y67" s="1132">
        <v>10</v>
      </c>
      <c r="Z67" s="44">
        <v>105</v>
      </c>
      <c r="AA67" s="1135">
        <f t="shared" si="77"/>
        <v>5.6480133111366335E-2</v>
      </c>
      <c r="AB67" s="1135">
        <f t="shared" si="68"/>
        <v>5.2835194288481636E-2</v>
      </c>
      <c r="AC67" s="1132">
        <f t="shared" ref="AC67:AC124" si="87">Y67-0.5</f>
        <v>9.5</v>
      </c>
      <c r="AD67" s="1133">
        <f t="shared" si="78"/>
        <v>-37.5</v>
      </c>
      <c r="AE67" s="186">
        <f t="shared" si="69"/>
        <v>9.4042992133082119</v>
      </c>
      <c r="AF67" s="40">
        <f t="shared" si="70"/>
        <v>1.2761172714157392</v>
      </c>
      <c r="AG67" s="13">
        <f t="shared" si="71"/>
        <v>34.583789827422869</v>
      </c>
      <c r="AH67" s="1132">
        <f t="shared" si="79"/>
        <v>1</v>
      </c>
      <c r="AI67" s="1132">
        <f t="shared" si="80"/>
        <v>1</v>
      </c>
      <c r="AJ67" s="187">
        <f t="shared" si="81"/>
        <v>1.2761172714157392</v>
      </c>
      <c r="AK67" s="1136">
        <f t="shared" si="72"/>
        <v>0.12128792866961505</v>
      </c>
      <c r="AR67" s="1132">
        <v>10</v>
      </c>
      <c r="AS67" s="44">
        <v>105</v>
      </c>
      <c r="AT67" s="1135">
        <f t="shared" ref="AT67:AT124" si="88">V67</f>
        <v>5.6480133111366335E-2</v>
      </c>
      <c r="AU67" s="1135">
        <f t="shared" si="86"/>
        <v>5.2835194288481636E-2</v>
      </c>
      <c r="AV67" s="1132">
        <f t="shared" ref="AV67:AV124" si="89">AR67-0.5</f>
        <v>9.5</v>
      </c>
      <c r="AW67" s="1133">
        <f t="shared" si="82"/>
        <v>-37.5</v>
      </c>
      <c r="AX67" s="186">
        <f t="shared" si="73"/>
        <v>9.4042992133082119</v>
      </c>
      <c r="AY67" s="40">
        <f t="shared" si="74"/>
        <v>1.2761172714157392</v>
      </c>
      <c r="AZ67" s="13">
        <f t="shared" si="75"/>
        <v>34.583789827422869</v>
      </c>
      <c r="BA67" s="1132">
        <f t="shared" si="83"/>
        <v>1</v>
      </c>
      <c r="BB67" s="1132">
        <f t="shared" si="84"/>
        <v>1</v>
      </c>
      <c r="BC67" s="187">
        <f t="shared" si="85"/>
        <v>1.2761172714157392</v>
      </c>
      <c r="BD67" s="1136">
        <f t="shared" si="76"/>
        <v>0.12128792866961505</v>
      </c>
      <c r="BG67" s="1132"/>
      <c r="BH67" s="1132"/>
      <c r="BI67" s="1132"/>
    </row>
    <row r="68" spans="1:61" x14ac:dyDescent="0.2">
      <c r="A68" s="1135">
        <v>8.4548174616977306E-2</v>
      </c>
      <c r="B68" s="1135">
        <v>4.7075592582437722E-2</v>
      </c>
      <c r="C68" s="1135"/>
      <c r="D68" s="1135">
        <v>6.1672520190455625E-2</v>
      </c>
      <c r="E68" s="187">
        <v>6.7463445057671795E-2</v>
      </c>
      <c r="F68" s="187"/>
      <c r="G68" s="187">
        <v>7.6635972419381609E-2</v>
      </c>
      <c r="H68" s="187">
        <v>6.4271952139437705E-2</v>
      </c>
      <c r="I68" s="187"/>
      <c r="J68" s="187">
        <v>6.190370288001773E-2</v>
      </c>
      <c r="K68" s="187">
        <v>7.0160124541309918E-2</v>
      </c>
      <c r="L68" s="187"/>
      <c r="M68" s="187">
        <v>7.9957201936043693E-2</v>
      </c>
      <c r="N68" s="187">
        <v>5.8078897015237524E-2</v>
      </c>
      <c r="O68" s="187"/>
      <c r="P68" s="187">
        <v>6.1942548370293254E-2</v>
      </c>
      <c r="Q68" s="187">
        <v>7.4858168907902006E-2</v>
      </c>
      <c r="R68" s="187"/>
      <c r="S68" s="187">
        <v>6.3878590221941089E-2</v>
      </c>
      <c r="T68" s="187">
        <v>7.8603959448713304E-2</v>
      </c>
      <c r="U68" s="187"/>
      <c r="V68" s="1138">
        <f t="shared" si="66"/>
        <v>7.6635972419381609E-2</v>
      </c>
      <c r="W68" s="1138">
        <f t="shared" si="67"/>
        <v>6.4271952139437705E-2</v>
      </c>
      <c r="Y68" s="1132">
        <v>11</v>
      </c>
      <c r="Z68" s="44">
        <v>105</v>
      </c>
      <c r="AA68" s="1135">
        <f t="shared" si="77"/>
        <v>7.6635972419381609E-2</v>
      </c>
      <c r="AB68" s="1135">
        <f t="shared" si="68"/>
        <v>6.4271952139437705E-2</v>
      </c>
      <c r="AC68" s="1132">
        <f t="shared" si="87"/>
        <v>10.5</v>
      </c>
      <c r="AD68" s="1133">
        <f t="shared" si="78"/>
        <v>-22.5</v>
      </c>
      <c r="AE68" s="186">
        <f t="shared" si="69"/>
        <v>9.4042992133082119</v>
      </c>
      <c r="AF68" s="40">
        <f t="shared" si="70"/>
        <v>1.2971838788721144</v>
      </c>
      <c r="AG68" s="13">
        <f t="shared" si="71"/>
        <v>42.501930170799547</v>
      </c>
      <c r="AH68" s="1132">
        <f t="shared" si="79"/>
        <v>1</v>
      </c>
      <c r="AI68" s="1132">
        <f t="shared" si="80"/>
        <v>1</v>
      </c>
      <c r="AJ68" s="187">
        <f t="shared" si="81"/>
        <v>1.2971838788721144</v>
      </c>
      <c r="AK68" s="1136">
        <f t="shared" si="72"/>
        <v>0.15946172555395102</v>
      </c>
      <c r="AR68" s="1132">
        <v>11</v>
      </c>
      <c r="AS68" s="44">
        <v>105</v>
      </c>
      <c r="AT68" s="1135">
        <f t="shared" si="88"/>
        <v>7.6635972419381609E-2</v>
      </c>
      <c r="AU68" s="1135">
        <f t="shared" si="86"/>
        <v>6.4271952139437705E-2</v>
      </c>
      <c r="AV68" s="1132">
        <f t="shared" si="89"/>
        <v>10.5</v>
      </c>
      <c r="AW68" s="1133">
        <f t="shared" si="82"/>
        <v>-22.5</v>
      </c>
      <c r="AX68" s="186">
        <f t="shared" si="73"/>
        <v>9.4042992133082119</v>
      </c>
      <c r="AY68" s="40">
        <f t="shared" si="74"/>
        <v>1.2971838788721144</v>
      </c>
      <c r="AZ68" s="13">
        <f t="shared" si="75"/>
        <v>42.501930170799547</v>
      </c>
      <c r="BA68" s="1132">
        <f t="shared" si="83"/>
        <v>1</v>
      </c>
      <c r="BB68" s="1132">
        <f t="shared" si="84"/>
        <v>1</v>
      </c>
      <c r="BC68" s="187">
        <f t="shared" si="85"/>
        <v>1.2971838788721144</v>
      </c>
      <c r="BD68" s="1136">
        <f t="shared" si="76"/>
        <v>0.15946172555395102</v>
      </c>
      <c r="BG68" s="1132"/>
      <c r="BH68" s="1132"/>
      <c r="BI68" s="1132"/>
    </row>
    <row r="69" spans="1:61" x14ac:dyDescent="0.2">
      <c r="A69" s="1135">
        <v>9.6014987729327511E-2</v>
      </c>
      <c r="B69" s="1135">
        <v>5.0219004671151479E-2</v>
      </c>
      <c r="C69" s="1135"/>
      <c r="D69" s="1135">
        <v>6.6252162778855817E-2</v>
      </c>
      <c r="E69" s="187">
        <v>6.6038114266571885E-2</v>
      </c>
      <c r="F69" s="187"/>
      <c r="G69" s="187">
        <v>8.4943805952623297E-2</v>
      </c>
      <c r="H69" s="187">
        <v>6.4803603447794983E-2</v>
      </c>
      <c r="I69" s="187"/>
      <c r="J69" s="187">
        <v>7.1533414878238555E-2</v>
      </c>
      <c r="K69" s="187">
        <v>7.6309351718002932E-2</v>
      </c>
      <c r="L69" s="187"/>
      <c r="M69" s="187">
        <v>8.4756980532804505E-2</v>
      </c>
      <c r="N69" s="187">
        <v>7.0728878986415999E-2</v>
      </c>
      <c r="O69" s="187"/>
      <c r="P69" s="187">
        <v>7.0558423542264576E-2</v>
      </c>
      <c r="Q69" s="187">
        <v>8.2434802412838487E-2</v>
      </c>
      <c r="R69" s="187"/>
      <c r="S69" s="187">
        <v>8.1702742784952653E-2</v>
      </c>
      <c r="T69" s="187">
        <v>7.791841511936673E-2</v>
      </c>
      <c r="U69" s="187"/>
      <c r="V69" s="1138">
        <f t="shared" si="66"/>
        <v>8.4943805952623297E-2</v>
      </c>
      <c r="W69" s="1138">
        <f t="shared" si="67"/>
        <v>6.4803603447794983E-2</v>
      </c>
      <c r="Y69" s="1132">
        <v>12</v>
      </c>
      <c r="Z69" s="44">
        <v>105</v>
      </c>
      <c r="AA69" s="1135">
        <f t="shared" si="77"/>
        <v>8.4943805952623297E-2</v>
      </c>
      <c r="AB69" s="1135">
        <f t="shared" si="68"/>
        <v>6.4803603447794983E-2</v>
      </c>
      <c r="AC69" s="1132">
        <f t="shared" si="87"/>
        <v>11.5</v>
      </c>
      <c r="AD69" s="1133">
        <f t="shared" si="78"/>
        <v>-7.5</v>
      </c>
      <c r="AE69" s="186">
        <f t="shared" si="69"/>
        <v>9.4042992133082119</v>
      </c>
      <c r="AF69" s="40">
        <f t="shared" si="70"/>
        <v>1.3260137063194941</v>
      </c>
      <c r="AG69" s="13">
        <f t="shared" si="71"/>
        <v>47.014045720392076</v>
      </c>
      <c r="AH69" s="1132">
        <f t="shared" si="79"/>
        <v>1</v>
      </c>
      <c r="AI69" s="1132">
        <f t="shared" si="80"/>
        <v>1</v>
      </c>
      <c r="AJ69" s="187">
        <f t="shared" si="81"/>
        <v>1.3260137063194941</v>
      </c>
      <c r="AK69" s="1136">
        <f t="shared" si="72"/>
        <v>0.17336367269895192</v>
      </c>
      <c r="AR69" s="1132">
        <v>12</v>
      </c>
      <c r="AS69" s="44">
        <v>105</v>
      </c>
      <c r="AT69" s="1135">
        <f t="shared" si="88"/>
        <v>8.4943805952623297E-2</v>
      </c>
      <c r="AU69" s="1135">
        <f t="shared" si="86"/>
        <v>6.4803603447794983E-2</v>
      </c>
      <c r="AV69" s="1132">
        <f t="shared" si="89"/>
        <v>11.5</v>
      </c>
      <c r="AW69" s="1133">
        <f t="shared" si="82"/>
        <v>-7.5</v>
      </c>
      <c r="AX69" s="186">
        <f t="shared" si="73"/>
        <v>9.4042992133082119</v>
      </c>
      <c r="AY69" s="40">
        <f t="shared" si="74"/>
        <v>1.3260137063194941</v>
      </c>
      <c r="AZ69" s="13">
        <f t="shared" si="75"/>
        <v>47.014045720392076</v>
      </c>
      <c r="BA69" s="1132">
        <f t="shared" si="83"/>
        <v>1</v>
      </c>
      <c r="BB69" s="1132">
        <f t="shared" si="84"/>
        <v>1</v>
      </c>
      <c r="BC69" s="187">
        <f t="shared" si="85"/>
        <v>1.3260137063194941</v>
      </c>
      <c r="BD69" s="1136">
        <f t="shared" si="76"/>
        <v>0.17336367269895192</v>
      </c>
      <c r="BG69" s="1132"/>
      <c r="BH69" s="1132"/>
      <c r="BI69" s="1132"/>
    </row>
    <row r="70" spans="1:61" x14ac:dyDescent="0.2">
      <c r="A70" s="1135">
        <v>9.6014987729327511E-2</v>
      </c>
      <c r="B70" s="1135">
        <v>5.0219004671151479E-2</v>
      </c>
      <c r="C70" s="1135"/>
      <c r="D70" s="1135">
        <v>6.6252162778855817E-2</v>
      </c>
      <c r="E70" s="187">
        <v>6.6038114266571885E-2</v>
      </c>
      <c r="F70" s="187"/>
      <c r="G70" s="187">
        <v>8.4943805952623297E-2</v>
      </c>
      <c r="H70" s="187">
        <v>6.4803603447794983E-2</v>
      </c>
      <c r="I70" s="187"/>
      <c r="J70" s="187">
        <v>7.1533414878238555E-2</v>
      </c>
      <c r="K70" s="187">
        <v>7.6309351718002932E-2</v>
      </c>
      <c r="L70" s="187"/>
      <c r="M70" s="187">
        <v>8.4756980532804505E-2</v>
      </c>
      <c r="N70" s="187">
        <v>7.0728878986415999E-2</v>
      </c>
      <c r="O70" s="187"/>
      <c r="P70" s="187">
        <v>7.0558423542264576E-2</v>
      </c>
      <c r="Q70" s="187">
        <v>8.2434802412838487E-2</v>
      </c>
      <c r="R70" s="187"/>
      <c r="S70" s="187">
        <v>8.1702742784952653E-2</v>
      </c>
      <c r="T70" s="187">
        <v>7.791841511936673E-2</v>
      </c>
      <c r="U70" s="187"/>
      <c r="V70" s="1138">
        <f t="shared" si="66"/>
        <v>8.4943805952623297E-2</v>
      </c>
      <c r="W70" s="1138">
        <f t="shared" si="67"/>
        <v>6.4803603447794983E-2</v>
      </c>
      <c r="Y70" s="1132">
        <v>13</v>
      </c>
      <c r="Z70" s="44">
        <v>105</v>
      </c>
      <c r="AA70" s="1135">
        <f t="shared" si="77"/>
        <v>8.4943805952623297E-2</v>
      </c>
      <c r="AB70" s="1135">
        <f t="shared" si="68"/>
        <v>6.4803603447794983E-2</v>
      </c>
      <c r="AC70" s="1132">
        <f t="shared" si="87"/>
        <v>12.5</v>
      </c>
      <c r="AD70" s="1133">
        <f t="shared" si="78"/>
        <v>7.5</v>
      </c>
      <c r="AE70" s="186">
        <f t="shared" si="69"/>
        <v>9.4042992133082119</v>
      </c>
      <c r="AF70" s="40">
        <f t="shared" si="70"/>
        <v>1.3653628921461072</v>
      </c>
      <c r="AG70" s="13">
        <f t="shared" si="71"/>
        <v>47.014045720392076</v>
      </c>
      <c r="AH70" s="1132">
        <f t="shared" si="79"/>
        <v>1</v>
      </c>
      <c r="AI70" s="1132">
        <f t="shared" si="80"/>
        <v>1</v>
      </c>
      <c r="AJ70" s="187">
        <f t="shared" si="81"/>
        <v>1.3653628921461072</v>
      </c>
      <c r="AK70" s="1136">
        <f t="shared" si="72"/>
        <v>0.17670614230420145</v>
      </c>
      <c r="AR70" s="1132">
        <v>13</v>
      </c>
      <c r="AS70" s="44">
        <v>105</v>
      </c>
      <c r="AT70" s="1135">
        <f t="shared" si="88"/>
        <v>8.4943805952623297E-2</v>
      </c>
      <c r="AU70" s="1135">
        <f t="shared" si="86"/>
        <v>6.4803603447794983E-2</v>
      </c>
      <c r="AV70" s="1132">
        <f t="shared" si="89"/>
        <v>12.5</v>
      </c>
      <c r="AW70" s="1133">
        <f t="shared" si="82"/>
        <v>7.5</v>
      </c>
      <c r="AX70" s="186">
        <f t="shared" si="73"/>
        <v>9.4042992133082119</v>
      </c>
      <c r="AY70" s="40">
        <f t="shared" si="74"/>
        <v>1.3653628921461072</v>
      </c>
      <c r="AZ70" s="13">
        <f t="shared" si="75"/>
        <v>47.014045720392076</v>
      </c>
      <c r="BA70" s="1132">
        <f t="shared" si="83"/>
        <v>1</v>
      </c>
      <c r="BB70" s="1132">
        <f t="shared" si="84"/>
        <v>1</v>
      </c>
      <c r="BC70" s="187">
        <f t="shared" si="85"/>
        <v>1.3653628921461072</v>
      </c>
      <c r="BD70" s="1136">
        <f t="shared" si="76"/>
        <v>0.17670614230420145</v>
      </c>
      <c r="BG70" s="1132"/>
      <c r="BH70" s="1132"/>
      <c r="BI70" s="1132"/>
    </row>
    <row r="71" spans="1:61" x14ac:dyDescent="0.2">
      <c r="A71" s="1135">
        <v>8.4548174616977306E-2</v>
      </c>
      <c r="B71" s="1135">
        <v>4.7075592582437722E-2</v>
      </c>
      <c r="C71" s="1135"/>
      <c r="D71" s="1135">
        <v>6.1672520190455625E-2</v>
      </c>
      <c r="E71" s="187">
        <v>6.7463445057671795E-2</v>
      </c>
      <c r="F71" s="187"/>
      <c r="G71" s="187">
        <v>7.6635972419381609E-2</v>
      </c>
      <c r="H71" s="187">
        <v>6.4271952139437705E-2</v>
      </c>
      <c r="I71" s="187"/>
      <c r="J71" s="187">
        <v>6.190370288001773E-2</v>
      </c>
      <c r="K71" s="187">
        <v>7.0160124541309918E-2</v>
      </c>
      <c r="L71" s="187"/>
      <c r="M71" s="187">
        <v>7.9957201936043693E-2</v>
      </c>
      <c r="N71" s="187">
        <v>5.8078897015237524E-2</v>
      </c>
      <c r="O71" s="187"/>
      <c r="P71" s="187">
        <v>6.1942548370293254E-2</v>
      </c>
      <c r="Q71" s="187">
        <v>7.4858168907902006E-2</v>
      </c>
      <c r="R71" s="187"/>
      <c r="S71" s="187">
        <v>6.3878590221941089E-2</v>
      </c>
      <c r="T71" s="187">
        <v>7.8603959448713304E-2</v>
      </c>
      <c r="U71" s="187"/>
      <c r="V71" s="1138">
        <f t="shared" si="66"/>
        <v>7.6635972419381609E-2</v>
      </c>
      <c r="W71" s="1138">
        <f t="shared" si="67"/>
        <v>6.4271952139437705E-2</v>
      </c>
      <c r="Y71" s="1132">
        <v>14</v>
      </c>
      <c r="Z71" s="44">
        <v>105</v>
      </c>
      <c r="AA71" s="1135">
        <f t="shared" si="77"/>
        <v>7.6635972419381609E-2</v>
      </c>
      <c r="AB71" s="1135">
        <f t="shared" si="68"/>
        <v>6.4271952139437705E-2</v>
      </c>
      <c r="AC71" s="1132">
        <f t="shared" si="87"/>
        <v>13.5</v>
      </c>
      <c r="AD71" s="1133">
        <f t="shared" si="78"/>
        <v>22.5</v>
      </c>
      <c r="AE71" s="186">
        <f t="shared" si="69"/>
        <v>9.4042992133082119</v>
      </c>
      <c r="AF71" s="40">
        <f t="shared" si="70"/>
        <v>1.4220971769558421</v>
      </c>
      <c r="AG71" s="13">
        <f t="shared" si="71"/>
        <v>42.501930170799547</v>
      </c>
      <c r="AH71" s="1132">
        <f t="shared" si="79"/>
        <v>1</v>
      </c>
      <c r="AI71" s="1132">
        <f t="shared" si="80"/>
        <v>1</v>
      </c>
      <c r="AJ71" s="187">
        <f t="shared" si="81"/>
        <v>1.4220971769558421</v>
      </c>
      <c r="AK71" s="1136">
        <f t="shared" si="72"/>
        <v>0.16903457762070959</v>
      </c>
      <c r="AR71" s="1132">
        <v>14</v>
      </c>
      <c r="AS71" s="44">
        <v>105</v>
      </c>
      <c r="AT71" s="1135">
        <f t="shared" si="88"/>
        <v>7.6635972419381609E-2</v>
      </c>
      <c r="AU71" s="1135">
        <f t="shared" si="86"/>
        <v>6.4271952139437705E-2</v>
      </c>
      <c r="AV71" s="1132">
        <f t="shared" si="89"/>
        <v>13.5</v>
      </c>
      <c r="AW71" s="1133">
        <f t="shared" si="82"/>
        <v>22.5</v>
      </c>
      <c r="AX71" s="186">
        <f t="shared" si="73"/>
        <v>9.4042992133082119</v>
      </c>
      <c r="AY71" s="40">
        <f t="shared" si="74"/>
        <v>1.4220971769558421</v>
      </c>
      <c r="AZ71" s="13">
        <f t="shared" si="75"/>
        <v>42.501930170799547</v>
      </c>
      <c r="BA71" s="1132">
        <f t="shared" si="83"/>
        <v>1</v>
      </c>
      <c r="BB71" s="1132">
        <f t="shared" si="84"/>
        <v>1</v>
      </c>
      <c r="BC71" s="187">
        <f t="shared" si="85"/>
        <v>1.4220971769558421</v>
      </c>
      <c r="BD71" s="1136">
        <f t="shared" si="76"/>
        <v>0.16903457762070959</v>
      </c>
      <c r="BG71" s="1132"/>
      <c r="BH71" s="1132"/>
      <c r="BI71" s="1132"/>
    </row>
    <row r="72" spans="1:61" x14ac:dyDescent="0.2">
      <c r="A72" s="1135">
        <v>6.8007196817280541E-2</v>
      </c>
      <c r="B72" s="1135">
        <v>4.1017694328338045E-2</v>
      </c>
      <c r="C72" s="1135"/>
      <c r="D72" s="1135">
        <v>5.7555819733274172E-2</v>
      </c>
      <c r="E72" s="187">
        <v>6.1710683878692302E-2</v>
      </c>
      <c r="F72" s="187"/>
      <c r="G72" s="187">
        <v>5.6480133111366335E-2</v>
      </c>
      <c r="H72" s="187">
        <v>5.2835194288481636E-2</v>
      </c>
      <c r="I72" s="187"/>
      <c r="J72" s="187">
        <v>4.7031024129878779E-2</v>
      </c>
      <c r="K72" s="187">
        <v>5.7127766040253582E-2</v>
      </c>
      <c r="L72" s="187"/>
      <c r="M72" s="187">
        <v>5.0871349147938186E-2</v>
      </c>
      <c r="N72" s="187">
        <v>5.4722028875875822E-2</v>
      </c>
      <c r="O72" s="187"/>
      <c r="P72" s="187">
        <v>4.2091628149296539E-2</v>
      </c>
      <c r="Q72" s="187">
        <v>6.9458325381214187E-2</v>
      </c>
      <c r="R72" s="187"/>
      <c r="S72" s="187">
        <v>5.0979014320503113E-2</v>
      </c>
      <c r="T72" s="187">
        <v>6.3659855772120716E-2</v>
      </c>
      <c r="U72" s="187"/>
      <c r="V72" s="1138">
        <f t="shared" si="66"/>
        <v>5.6480133111366335E-2</v>
      </c>
      <c r="W72" s="1138">
        <f t="shared" si="67"/>
        <v>5.2835194288481636E-2</v>
      </c>
      <c r="Y72" s="1132">
        <v>15</v>
      </c>
      <c r="Z72" s="44">
        <v>105</v>
      </c>
      <c r="AA72" s="1135">
        <f t="shared" si="77"/>
        <v>5.6480133111366335E-2</v>
      </c>
      <c r="AB72" s="1135">
        <f t="shared" si="68"/>
        <v>5.2835194288481636E-2</v>
      </c>
      <c r="AC72" s="1132">
        <f t="shared" si="87"/>
        <v>14.5</v>
      </c>
      <c r="AD72" s="1133">
        <f t="shared" si="78"/>
        <v>37.5</v>
      </c>
      <c r="AE72" s="186">
        <f t="shared" si="69"/>
        <v>9.4042992133082119</v>
      </c>
      <c r="AF72" s="40">
        <f t="shared" si="70"/>
        <v>1.5126392287582098</v>
      </c>
      <c r="AG72" s="13">
        <f t="shared" si="71"/>
        <v>34.583789827422869</v>
      </c>
      <c r="AH72" s="1132">
        <f t="shared" si="79"/>
        <v>1</v>
      </c>
      <c r="AI72" s="1132">
        <f t="shared" si="80"/>
        <v>1</v>
      </c>
      <c r="AJ72" s="187">
        <f t="shared" si="81"/>
        <v>1.5126392287582098</v>
      </c>
      <c r="AK72" s="1136">
        <f t="shared" si="72"/>
        <v>0.13464672030407868</v>
      </c>
      <c r="AR72" s="1132">
        <v>15</v>
      </c>
      <c r="AS72" s="44">
        <v>105</v>
      </c>
      <c r="AT72" s="1135">
        <f t="shared" si="88"/>
        <v>5.6480133111366335E-2</v>
      </c>
      <c r="AU72" s="1135">
        <f t="shared" si="86"/>
        <v>5.2835194288481636E-2</v>
      </c>
      <c r="AV72" s="1132">
        <f t="shared" si="89"/>
        <v>14.5</v>
      </c>
      <c r="AW72" s="1133">
        <f t="shared" si="82"/>
        <v>37.5</v>
      </c>
      <c r="AX72" s="186">
        <f t="shared" si="73"/>
        <v>9.4042992133082119</v>
      </c>
      <c r="AY72" s="40">
        <f t="shared" si="74"/>
        <v>1.5126392287582098</v>
      </c>
      <c r="AZ72" s="13">
        <f t="shared" si="75"/>
        <v>34.583789827422869</v>
      </c>
      <c r="BA72" s="1132">
        <f t="shared" si="83"/>
        <v>1</v>
      </c>
      <c r="BB72" s="1132">
        <f t="shared" si="84"/>
        <v>1</v>
      </c>
      <c r="BC72" s="187">
        <f t="shared" si="85"/>
        <v>1.5126392287582098</v>
      </c>
      <c r="BD72" s="1136">
        <f t="shared" si="76"/>
        <v>0.13464672030407868</v>
      </c>
      <c r="BG72" s="1132"/>
      <c r="BH72" s="1132"/>
      <c r="BI72" s="1132"/>
    </row>
    <row r="73" spans="1:61" x14ac:dyDescent="0.2">
      <c r="A73" s="1135">
        <v>4.3925544934745347E-2</v>
      </c>
      <c r="B73" s="1135">
        <v>3.1062843055228544E-2</v>
      </c>
      <c r="C73" s="1135"/>
      <c r="D73" s="1135">
        <v>3.9379820529608048E-2</v>
      </c>
      <c r="E73" s="187">
        <v>4.0806853855716078E-2</v>
      </c>
      <c r="F73" s="187"/>
      <c r="G73" s="187">
        <v>2.8571169522413002E-2</v>
      </c>
      <c r="H73" s="187">
        <v>4.0281401525178506E-2</v>
      </c>
      <c r="I73" s="187"/>
      <c r="J73" s="187">
        <v>2.6503947514733679E-2</v>
      </c>
      <c r="K73" s="187">
        <v>4.0815078394306696E-2</v>
      </c>
      <c r="L73" s="187"/>
      <c r="M73" s="187">
        <v>2.9389497279100875E-2</v>
      </c>
      <c r="N73" s="187">
        <v>4.1834951023396724E-2</v>
      </c>
      <c r="O73" s="187"/>
      <c r="P73" s="187">
        <v>1.8436798959962329E-2</v>
      </c>
      <c r="Q73" s="187">
        <v>4.9416947718598496E-2</v>
      </c>
      <c r="R73" s="187"/>
      <c r="S73" s="187">
        <v>2.3847173945856129E-2</v>
      </c>
      <c r="T73" s="187">
        <v>4.0626549274718024E-2</v>
      </c>
      <c r="U73" s="187"/>
      <c r="V73" s="1138">
        <f t="shared" si="66"/>
        <v>2.8571169522413002E-2</v>
      </c>
      <c r="W73" s="1138">
        <f t="shared" si="67"/>
        <v>4.0281401525178506E-2</v>
      </c>
      <c r="Y73" s="1132">
        <v>16</v>
      </c>
      <c r="Z73" s="44">
        <v>105</v>
      </c>
      <c r="AA73" s="1135">
        <f t="shared" si="77"/>
        <v>2.8571169522413002E-2</v>
      </c>
      <c r="AB73" s="1135">
        <f t="shared" si="68"/>
        <v>4.0281401525178506E-2</v>
      </c>
      <c r="AC73" s="1132">
        <f t="shared" si="87"/>
        <v>15.5</v>
      </c>
      <c r="AD73" s="1133">
        <f t="shared" si="78"/>
        <v>52.5</v>
      </c>
      <c r="AE73" s="186">
        <f t="shared" si="69"/>
        <v>9.4042992133082119</v>
      </c>
      <c r="AF73" s="40">
        <f t="shared" si="70"/>
        <v>1.6852538255063789</v>
      </c>
      <c r="AG73" s="13">
        <f t="shared" si="71"/>
        <v>24.51086132473764</v>
      </c>
      <c r="AH73" s="1132">
        <f t="shared" si="79"/>
        <v>1</v>
      </c>
      <c r="AI73" s="1132">
        <f t="shared" si="80"/>
        <v>1</v>
      </c>
      <c r="AJ73" s="187">
        <f t="shared" si="81"/>
        <v>1.6852538255063789</v>
      </c>
      <c r="AK73" s="1136">
        <f t="shared" si="72"/>
        <v>8.5330327680023202E-2</v>
      </c>
      <c r="AR73" s="1132">
        <v>16</v>
      </c>
      <c r="AS73" s="44">
        <v>105</v>
      </c>
      <c r="AT73" s="1135">
        <f t="shared" si="88"/>
        <v>2.8571169522413002E-2</v>
      </c>
      <c r="AU73" s="1135">
        <f t="shared" si="86"/>
        <v>4.0281401525178506E-2</v>
      </c>
      <c r="AV73" s="1132">
        <f t="shared" si="89"/>
        <v>15.5</v>
      </c>
      <c r="AW73" s="1133">
        <f t="shared" si="82"/>
        <v>52.5</v>
      </c>
      <c r="AX73" s="186">
        <f t="shared" si="73"/>
        <v>9.4042992133082119</v>
      </c>
      <c r="AY73" s="40">
        <f t="shared" si="74"/>
        <v>1.6852538255063789</v>
      </c>
      <c r="AZ73" s="13">
        <f t="shared" si="75"/>
        <v>24.51086132473764</v>
      </c>
      <c r="BA73" s="1132">
        <f t="shared" si="83"/>
        <v>1</v>
      </c>
      <c r="BB73" s="1132">
        <f t="shared" si="84"/>
        <v>1</v>
      </c>
      <c r="BC73" s="187">
        <f t="shared" si="85"/>
        <v>1.6852538255063789</v>
      </c>
      <c r="BD73" s="1136">
        <f t="shared" si="76"/>
        <v>8.5330327680023202E-2</v>
      </c>
      <c r="BG73" s="1132"/>
      <c r="BH73" s="1132"/>
      <c r="BI73" s="1132"/>
    </row>
    <row r="74" spans="1:61" x14ac:dyDescent="0.2">
      <c r="A74" s="1135">
        <v>1.5701827939441065E-2</v>
      </c>
      <c r="B74" s="1135">
        <v>2.0169189430362541E-2</v>
      </c>
      <c r="C74" s="1135"/>
      <c r="D74" s="1135">
        <v>1.2746360087389226E-2</v>
      </c>
      <c r="E74" s="187">
        <v>2.4534066132440524E-2</v>
      </c>
      <c r="F74" s="187"/>
      <c r="G74" s="187">
        <v>8.235495574214876E-3</v>
      </c>
      <c r="H74" s="187">
        <v>2.1458903076982491E-2</v>
      </c>
      <c r="I74" s="187"/>
      <c r="J74" s="187">
        <v>1.4138774602468597E-2</v>
      </c>
      <c r="K74" s="187">
        <v>2.035472033804071E-2</v>
      </c>
      <c r="L74" s="187"/>
      <c r="M74" s="187">
        <v>6.1446271784143421E-3</v>
      </c>
      <c r="N74" s="187">
        <v>2.2377369824154145E-2</v>
      </c>
      <c r="O74" s="187"/>
      <c r="P74" s="187">
        <v>5.7562412923086604E-3</v>
      </c>
      <c r="Q74" s="187">
        <v>2.4173058639636803E-2</v>
      </c>
      <c r="R74" s="187"/>
      <c r="S74" s="187">
        <v>3.3671454033971397E-3</v>
      </c>
      <c r="T74" s="187">
        <v>1.5075318638666645E-2</v>
      </c>
      <c r="U74" s="187"/>
      <c r="V74" s="1138">
        <f t="shared" si="66"/>
        <v>8.235495574214876E-3</v>
      </c>
      <c r="W74" s="1138">
        <f t="shared" si="67"/>
        <v>2.1458903076982491E-2</v>
      </c>
      <c r="Y74" s="1132">
        <v>17</v>
      </c>
      <c r="Z74" s="44">
        <v>105</v>
      </c>
      <c r="AA74" s="1135">
        <f t="shared" si="77"/>
        <v>8.235495574214876E-3</v>
      </c>
      <c r="AB74" s="1135">
        <f t="shared" si="68"/>
        <v>2.1458903076982491E-2</v>
      </c>
      <c r="AC74" s="1132">
        <f t="shared" si="87"/>
        <v>16.5</v>
      </c>
      <c r="AD74" s="1133">
        <f t="shared" si="78"/>
        <v>67.5</v>
      </c>
      <c r="AE74" s="186">
        <f t="shared" si="69"/>
        <v>9.4042992133082119</v>
      </c>
      <c r="AF74" s="40">
        <f t="shared" si="70"/>
        <v>2.1658260006886447</v>
      </c>
      <c r="AG74" s="13">
        <f t="shared" si="71"/>
        <v>13.166817082494628</v>
      </c>
      <c r="AH74" s="1132">
        <f t="shared" si="79"/>
        <v>1</v>
      </c>
      <c r="AI74" s="1132">
        <f t="shared" si="80"/>
        <v>1</v>
      </c>
      <c r="AJ74" s="187">
        <f t="shared" si="81"/>
        <v>2.1658260006886447</v>
      </c>
      <c r="AK74" s="1136">
        <f t="shared" si="72"/>
        <v>3.7480312152660171E-2</v>
      </c>
      <c r="AR74" s="1132">
        <v>17</v>
      </c>
      <c r="AS74" s="44">
        <v>105</v>
      </c>
      <c r="AT74" s="1135">
        <f t="shared" si="88"/>
        <v>8.235495574214876E-3</v>
      </c>
      <c r="AU74" s="1135">
        <f t="shared" si="86"/>
        <v>2.1458903076982491E-2</v>
      </c>
      <c r="AV74" s="1132">
        <f t="shared" si="89"/>
        <v>16.5</v>
      </c>
      <c r="AW74" s="1133">
        <f t="shared" si="82"/>
        <v>67.5</v>
      </c>
      <c r="AX74" s="186">
        <f t="shared" si="73"/>
        <v>9.4042992133082119</v>
      </c>
      <c r="AY74" s="40">
        <f t="shared" si="74"/>
        <v>2.1658260006886447</v>
      </c>
      <c r="AZ74" s="13">
        <f t="shared" si="75"/>
        <v>13.166817082494628</v>
      </c>
      <c r="BA74" s="1132">
        <f t="shared" si="83"/>
        <v>1</v>
      </c>
      <c r="BB74" s="1132">
        <f t="shared" si="84"/>
        <v>1</v>
      </c>
      <c r="BC74" s="187">
        <f t="shared" si="85"/>
        <v>2.1658260006886447</v>
      </c>
      <c r="BD74" s="1136">
        <f t="shared" si="76"/>
        <v>3.7480312152660171E-2</v>
      </c>
      <c r="BG74" s="1132"/>
      <c r="BH74" s="1132"/>
      <c r="BI74" s="1132"/>
    </row>
    <row r="75" spans="1:61" x14ac:dyDescent="0.2">
      <c r="A75" s="1135">
        <v>2.3216544111077215E-4</v>
      </c>
      <c r="B75" s="1135">
        <v>2.025778453599109E-3</v>
      </c>
      <c r="C75" s="1135"/>
      <c r="D75" s="1135">
        <v>1.5929191611826674E-4</v>
      </c>
      <c r="E75" s="187">
        <v>1.6808615732062944E-3</v>
      </c>
      <c r="F75" s="187"/>
      <c r="G75" s="187">
        <v>5.6292491473122591E-5</v>
      </c>
      <c r="H75" s="187">
        <v>1.4260764506524393E-3</v>
      </c>
      <c r="I75" s="187"/>
      <c r="J75" s="187">
        <v>5.1484487935060594E-3</v>
      </c>
      <c r="K75" s="187">
        <v>8.5177360169020264E-3</v>
      </c>
      <c r="L75" s="187"/>
      <c r="M75" s="187">
        <v>6.1288672340980904E-5</v>
      </c>
      <c r="N75" s="187">
        <v>1.0769295282772354E-3</v>
      </c>
      <c r="O75" s="187"/>
      <c r="P75" s="187">
        <v>1.8725075081708962E-5</v>
      </c>
      <c r="Q75" s="187">
        <v>8.5433155060297137E-4</v>
      </c>
      <c r="R75" s="187"/>
      <c r="S75" s="187">
        <v>1.8445138906186399E-5</v>
      </c>
      <c r="T75" s="187">
        <v>3.2278993085826192E-4</v>
      </c>
      <c r="U75" s="187"/>
      <c r="V75" s="1138">
        <f t="shared" si="66"/>
        <v>5.6292491473122591E-5</v>
      </c>
      <c r="W75" s="1138">
        <f t="shared" si="67"/>
        <v>1.4260764506524393E-3</v>
      </c>
      <c r="Y75" s="1132">
        <v>18</v>
      </c>
      <c r="Z75" s="44">
        <v>105</v>
      </c>
      <c r="AA75" s="1135">
        <f t="shared" si="77"/>
        <v>5.6292491473122591E-5</v>
      </c>
      <c r="AB75" s="1135">
        <f t="shared" si="68"/>
        <v>1.4260764506524393E-3</v>
      </c>
      <c r="AC75" s="1132">
        <f t="shared" si="87"/>
        <v>17.5</v>
      </c>
      <c r="AD75" s="1133">
        <f t="shared" si="78"/>
        <v>82.5</v>
      </c>
      <c r="AE75" s="186">
        <f t="shared" si="69"/>
        <v>9.4042992133082119</v>
      </c>
      <c r="AF75" s="40">
        <f t="shared" si="70"/>
        <v>13.352110183932187</v>
      </c>
      <c r="AG75" s="13">
        <f t="shared" si="71"/>
        <v>1.0956978832671482</v>
      </c>
      <c r="AH75" s="1132">
        <f t="shared" si="79"/>
        <v>1</v>
      </c>
      <c r="AI75" s="1132">
        <f t="shared" si="80"/>
        <v>1</v>
      </c>
      <c r="AJ75" s="187">
        <f t="shared" si="81"/>
        <v>13.352110183932187</v>
      </c>
      <c r="AK75" s="1136">
        <f t="shared" si="72"/>
        <v>2.0455802572702042E-3</v>
      </c>
      <c r="AR75" s="1132">
        <v>18</v>
      </c>
      <c r="AS75" s="44">
        <v>105</v>
      </c>
      <c r="AT75" s="1135">
        <f t="shared" si="88"/>
        <v>5.6292491473122591E-5</v>
      </c>
      <c r="AU75" s="1135">
        <f t="shared" si="86"/>
        <v>1.4260764506524393E-3</v>
      </c>
      <c r="AV75" s="1132">
        <f t="shared" si="89"/>
        <v>17.5</v>
      </c>
      <c r="AW75" s="1133">
        <f t="shared" si="82"/>
        <v>82.5</v>
      </c>
      <c r="AX75" s="186">
        <f t="shared" si="73"/>
        <v>9.4042992133082119</v>
      </c>
      <c r="AY75" s="40">
        <f t="shared" si="74"/>
        <v>13.352110183932187</v>
      </c>
      <c r="AZ75" s="13">
        <f t="shared" si="75"/>
        <v>1.0956978832671482</v>
      </c>
      <c r="BA75" s="1132">
        <f t="shared" si="83"/>
        <v>1</v>
      </c>
      <c r="BB75" s="1132">
        <f t="shared" si="84"/>
        <v>1</v>
      </c>
      <c r="BC75" s="187">
        <f t="shared" si="85"/>
        <v>13.352110183932187</v>
      </c>
      <c r="BD75" s="1136">
        <f t="shared" si="76"/>
        <v>2.0455802572702042E-3</v>
      </c>
      <c r="BG75" s="1132"/>
      <c r="BH75" s="1132"/>
      <c r="BI75" s="1132"/>
    </row>
    <row r="76" spans="1:61" x14ac:dyDescent="0.2">
      <c r="A76" s="1135">
        <v>0</v>
      </c>
      <c r="B76" s="1135">
        <v>0</v>
      </c>
      <c r="C76" s="1135"/>
      <c r="D76" s="1135">
        <v>0</v>
      </c>
      <c r="E76" s="187">
        <v>0</v>
      </c>
      <c r="F76" s="187"/>
      <c r="G76" s="187">
        <v>0</v>
      </c>
      <c r="H76" s="187">
        <v>0</v>
      </c>
      <c r="I76" s="187"/>
      <c r="J76" s="187">
        <v>1.1672856227010683E-18</v>
      </c>
      <c r="K76" s="187">
        <v>4.5591015234070967E-4</v>
      </c>
      <c r="L76" s="187"/>
      <c r="M76" s="187">
        <v>0</v>
      </c>
      <c r="N76" s="187">
        <v>0</v>
      </c>
      <c r="O76" s="187"/>
      <c r="P76" s="187">
        <v>0</v>
      </c>
      <c r="Q76" s="187">
        <v>0</v>
      </c>
      <c r="R76" s="187"/>
      <c r="S76" s="187">
        <v>0</v>
      </c>
      <c r="T76" s="187">
        <v>0</v>
      </c>
      <c r="U76" s="187"/>
      <c r="V76" s="1138">
        <f t="shared" si="66"/>
        <v>0</v>
      </c>
      <c r="W76" s="1138">
        <f t="shared" si="67"/>
        <v>0</v>
      </c>
      <c r="Y76" s="1132">
        <v>19</v>
      </c>
      <c r="Z76" s="44">
        <v>105</v>
      </c>
      <c r="AA76" s="1135">
        <f t="shared" si="77"/>
        <v>0</v>
      </c>
      <c r="AB76" s="1135">
        <f t="shared" si="68"/>
        <v>0</v>
      </c>
      <c r="AC76" s="1132">
        <f t="shared" si="87"/>
        <v>18.5</v>
      </c>
      <c r="AD76" s="1133">
        <f t="shared" si="78"/>
        <v>97.5</v>
      </c>
      <c r="AE76" s="186">
        <f t="shared" si="69"/>
        <v>9.4042992133082119</v>
      </c>
      <c r="AF76" s="40">
        <f t="shared" si="70"/>
        <v>-4.4264052590204696E-3</v>
      </c>
      <c r="AG76" s="13">
        <f t="shared" si="71"/>
        <v>-11.356253720875513</v>
      </c>
      <c r="AH76" s="1132">
        <f t="shared" si="79"/>
        <v>0</v>
      </c>
      <c r="AI76" s="1132">
        <f t="shared" si="80"/>
        <v>0</v>
      </c>
      <c r="AJ76" s="187">
        <f t="shared" si="81"/>
        <v>0</v>
      </c>
      <c r="AK76" s="1136">
        <f t="shared" si="72"/>
        <v>0</v>
      </c>
      <c r="AR76" s="1132">
        <v>19</v>
      </c>
      <c r="AS76" s="44">
        <v>105</v>
      </c>
      <c r="AT76" s="1135">
        <f t="shared" si="88"/>
        <v>0</v>
      </c>
      <c r="AU76" s="1135">
        <f t="shared" si="86"/>
        <v>0</v>
      </c>
      <c r="AV76" s="1132">
        <f t="shared" si="89"/>
        <v>18.5</v>
      </c>
      <c r="AW76" s="1133">
        <f t="shared" si="82"/>
        <v>97.5</v>
      </c>
      <c r="AX76" s="186">
        <f t="shared" si="73"/>
        <v>9.4042992133082119</v>
      </c>
      <c r="AY76" s="40">
        <f t="shared" si="74"/>
        <v>-4.4264052590204696E-3</v>
      </c>
      <c r="AZ76" s="13">
        <f t="shared" si="75"/>
        <v>-11.356253720875513</v>
      </c>
      <c r="BA76" s="1132">
        <f t="shared" si="83"/>
        <v>0</v>
      </c>
      <c r="BB76" s="1132">
        <f t="shared" si="84"/>
        <v>0</v>
      </c>
      <c r="BC76" s="187">
        <f t="shared" si="85"/>
        <v>0</v>
      </c>
      <c r="BD76" s="1136">
        <f t="shared" si="76"/>
        <v>0</v>
      </c>
      <c r="BG76" s="1132"/>
      <c r="BH76" s="1132"/>
      <c r="BI76" s="1132"/>
    </row>
    <row r="77" spans="1:61" x14ac:dyDescent="0.2">
      <c r="A77" s="1135">
        <v>0</v>
      </c>
      <c r="B77" s="1135">
        <v>0</v>
      </c>
      <c r="C77" s="1135"/>
      <c r="D77" s="1135">
        <v>0</v>
      </c>
      <c r="E77" s="187">
        <v>0</v>
      </c>
      <c r="F77" s="187"/>
      <c r="G77" s="187">
        <v>0</v>
      </c>
      <c r="H77" s="187">
        <v>0</v>
      </c>
      <c r="I77" s="187"/>
      <c r="J77" s="187">
        <v>0</v>
      </c>
      <c r="K77" s="187">
        <v>0</v>
      </c>
      <c r="L77" s="187"/>
      <c r="M77" s="187">
        <v>0</v>
      </c>
      <c r="N77" s="187">
        <v>0</v>
      </c>
      <c r="O77" s="187"/>
      <c r="P77" s="187">
        <v>0</v>
      </c>
      <c r="Q77" s="187">
        <v>0</v>
      </c>
      <c r="R77" s="187"/>
      <c r="S77" s="187">
        <v>0</v>
      </c>
      <c r="T77" s="187">
        <v>0</v>
      </c>
      <c r="U77" s="187"/>
      <c r="V77" s="1138">
        <f t="shared" si="66"/>
        <v>0</v>
      </c>
      <c r="W77" s="1138">
        <f t="shared" si="67"/>
        <v>0</v>
      </c>
      <c r="Y77" s="1132">
        <v>20</v>
      </c>
      <c r="Z77" s="44">
        <v>105</v>
      </c>
      <c r="AA77" s="1135">
        <f t="shared" si="77"/>
        <v>0</v>
      </c>
      <c r="AB77" s="1135">
        <f t="shared" si="68"/>
        <v>0</v>
      </c>
      <c r="AC77" s="1132">
        <f t="shared" si="87"/>
        <v>19.5</v>
      </c>
      <c r="AD77" s="1133">
        <f t="shared" si="78"/>
        <v>112.5</v>
      </c>
      <c r="AE77" s="186">
        <f t="shared" si="69"/>
        <v>9.4042992133082119</v>
      </c>
      <c r="AF77" s="40">
        <f t="shared" si="70"/>
        <v>0.62181241917644392</v>
      </c>
      <c r="AG77" s="13">
        <f t="shared" si="71"/>
        <v>-23.927798248029561</v>
      </c>
      <c r="AH77" s="1132">
        <f t="shared" si="79"/>
        <v>0</v>
      </c>
      <c r="AI77" s="1132">
        <f t="shared" si="80"/>
        <v>1</v>
      </c>
      <c r="AJ77" s="187">
        <f t="shared" si="81"/>
        <v>0</v>
      </c>
      <c r="AK77" s="1136">
        <f t="shared" si="72"/>
        <v>0</v>
      </c>
      <c r="AR77" s="1132">
        <v>20</v>
      </c>
      <c r="AS77" s="44">
        <v>105</v>
      </c>
      <c r="AT77" s="1135">
        <f t="shared" si="88"/>
        <v>0</v>
      </c>
      <c r="AU77" s="1135">
        <f t="shared" si="86"/>
        <v>0</v>
      </c>
      <c r="AV77" s="1132">
        <f t="shared" si="89"/>
        <v>19.5</v>
      </c>
      <c r="AW77" s="1133">
        <f t="shared" si="82"/>
        <v>112.5</v>
      </c>
      <c r="AX77" s="186">
        <f t="shared" si="73"/>
        <v>9.4042992133082119</v>
      </c>
      <c r="AY77" s="40">
        <f t="shared" si="74"/>
        <v>0.62181241917644392</v>
      </c>
      <c r="AZ77" s="13">
        <f t="shared" si="75"/>
        <v>-23.927798248029561</v>
      </c>
      <c r="BA77" s="1132">
        <f t="shared" si="83"/>
        <v>0</v>
      </c>
      <c r="BB77" s="1132">
        <f t="shared" si="84"/>
        <v>1</v>
      </c>
      <c r="BC77" s="187">
        <f t="shared" si="85"/>
        <v>0</v>
      </c>
      <c r="BD77" s="1136">
        <f t="shared" si="76"/>
        <v>0</v>
      </c>
      <c r="BG77" s="1132"/>
      <c r="BH77" s="1132"/>
      <c r="BI77" s="1132"/>
    </row>
    <row r="78" spans="1:61" x14ac:dyDescent="0.2">
      <c r="A78" s="1135"/>
      <c r="B78" s="1135"/>
      <c r="C78" s="1135"/>
      <c r="D78" s="1135"/>
      <c r="E78" s="187"/>
      <c r="F78" s="187"/>
      <c r="G78" s="187"/>
      <c r="H78" s="187"/>
      <c r="I78" s="187"/>
      <c r="J78" s="187"/>
      <c r="K78" s="187"/>
      <c r="L78" s="187"/>
      <c r="M78" s="187"/>
      <c r="N78" s="187"/>
      <c r="O78" s="187"/>
      <c r="P78" s="187"/>
      <c r="Q78" s="187"/>
      <c r="R78" s="187"/>
      <c r="S78" s="187"/>
      <c r="T78" s="187"/>
      <c r="U78" s="187"/>
      <c r="V78" s="1138"/>
      <c r="W78" s="1138"/>
      <c r="Y78" s="11"/>
      <c r="Z78" s="1139"/>
      <c r="AA78" s="11"/>
      <c r="AC78" s="1132">
        <f t="shared" si="87"/>
        <v>-0.5</v>
      </c>
      <c r="AF78" s="187"/>
      <c r="AK78" s="187">
        <f>SUM(AK62:AK77)</f>
        <v>1.1641526819788581</v>
      </c>
      <c r="AR78" s="11"/>
      <c r="AS78" s="1139"/>
      <c r="AT78" s="1135"/>
      <c r="AU78" s="1135"/>
      <c r="AV78" s="1132">
        <f t="shared" si="89"/>
        <v>-0.5</v>
      </c>
      <c r="AY78" s="40"/>
      <c r="BD78" s="187">
        <f>SUM(BD62:BD77)</f>
        <v>1.1641526819788581</v>
      </c>
      <c r="BG78" s="1132"/>
      <c r="BH78" s="1132"/>
      <c r="BI78" s="1132"/>
    </row>
    <row r="79" spans="1:61" x14ac:dyDescent="0.2">
      <c r="A79" s="1135" t="s">
        <v>1260</v>
      </c>
      <c r="B79" s="1135"/>
      <c r="C79" s="1135"/>
      <c r="D79" s="1135" t="s">
        <v>1260</v>
      </c>
      <c r="E79" s="187"/>
      <c r="F79" s="187"/>
      <c r="G79" s="187" t="s">
        <v>1260</v>
      </c>
      <c r="H79" s="187"/>
      <c r="I79" s="187"/>
      <c r="J79" s="187" t="s">
        <v>1260</v>
      </c>
      <c r="K79" s="187"/>
      <c r="L79" s="187"/>
      <c r="M79" s="187" t="s">
        <v>1260</v>
      </c>
      <c r="N79" s="187"/>
      <c r="O79" s="187"/>
      <c r="P79" s="187" t="s">
        <v>1260</v>
      </c>
      <c r="Q79" s="187"/>
      <c r="R79" s="187"/>
      <c r="S79" s="187" t="s">
        <v>1260</v>
      </c>
      <c r="T79" s="187"/>
      <c r="U79" s="187"/>
      <c r="V79" s="1138"/>
      <c r="W79" s="1138"/>
      <c r="Z79" s="44"/>
      <c r="AC79" s="1132">
        <f t="shared" si="87"/>
        <v>-0.5</v>
      </c>
      <c r="AS79" s="44"/>
      <c r="AT79" s="1135"/>
      <c r="AU79" s="1135"/>
      <c r="AV79" s="1132">
        <f t="shared" si="89"/>
        <v>-0.5</v>
      </c>
      <c r="AY79" s="40"/>
      <c r="BG79" s="1132"/>
      <c r="BH79" s="1132"/>
      <c r="BI79" s="1132"/>
    </row>
    <row r="80" spans="1:61" x14ac:dyDescent="0.2">
      <c r="A80" s="1135">
        <v>0</v>
      </c>
      <c r="B80" s="1135">
        <v>0</v>
      </c>
      <c r="C80" s="1135"/>
      <c r="D80" s="1135">
        <v>0</v>
      </c>
      <c r="E80" s="187">
        <v>0</v>
      </c>
      <c r="F80" s="187"/>
      <c r="G80" s="187">
        <v>0</v>
      </c>
      <c r="H80" s="187">
        <v>0</v>
      </c>
      <c r="I80" s="187"/>
      <c r="J80" s="187">
        <v>0</v>
      </c>
      <c r="K80" s="187">
        <v>0</v>
      </c>
      <c r="L80" s="187"/>
      <c r="M80" s="187">
        <v>0</v>
      </c>
      <c r="N80" s="187">
        <v>0</v>
      </c>
      <c r="O80" s="187"/>
      <c r="P80" s="187">
        <v>0</v>
      </c>
      <c r="Q80" s="187">
        <v>0</v>
      </c>
      <c r="R80" s="187"/>
      <c r="S80" s="187">
        <v>0</v>
      </c>
      <c r="T80" s="187">
        <v>0</v>
      </c>
      <c r="U80" s="187"/>
      <c r="V80" s="1138">
        <f t="shared" ref="V80:V95" si="90">CHOOSE($B$1,A80,D80,G80,J80,M80,P80,S80)</f>
        <v>0</v>
      </c>
      <c r="W80" s="1138">
        <f t="shared" ref="W80:W95" si="91">CHOOSE($B$1,B80,E80,H80,K80,N80,Q80,T80)</f>
        <v>0</v>
      </c>
      <c r="Y80" s="1132">
        <v>5</v>
      </c>
      <c r="Z80" s="44">
        <v>136</v>
      </c>
      <c r="AA80" s="1135">
        <f>V80</f>
        <v>0</v>
      </c>
      <c r="AB80" s="1135">
        <f t="shared" ref="AB80:AB95" si="92">W80</f>
        <v>0</v>
      </c>
      <c r="AC80" s="1132">
        <f t="shared" si="87"/>
        <v>4.5</v>
      </c>
      <c r="AD80" s="1133">
        <f>15*(AC80-12)</f>
        <v>-112.5</v>
      </c>
      <c r="AE80" s="186">
        <f t="shared" ref="AE80:AE95" si="93">23.45*SIN(360*(284+Z80)/365/57.3)</f>
        <v>19.023291617700689</v>
      </c>
      <c r="AF80" s="40">
        <f t="shared" ref="AF80:AF95" si="94">((SIN(AE80/57.3)*SIN($B$2/57.3)*COS($Z$2/57.3))-SIN(AE80/57.3)*COS($B$2/57.3)*SIN($Z$2/57.3)*COS($Z$3/57.3)+COS(AE80/57.3)*COS($B$2/57.3)*COS($Z$2/57.3)*COS(AD80/57.3)+COS(AE80/57.3)*SIN($B$2/57.3)*SIN($Z$2/57.3)*COS($Z$3/57.3)*COS(AD80/57.3)+COS(AE80/57.3)*SIN($Z$2/57.3)*SIN($Z$3/57.3)*SIN(AD80/57.3))/(COS($B$2/57.3)*COS(AE80/57.3)*COS(AD80/57.3)+SIN($B$2/57.3)*SIN(AE80/57.3))</f>
        <v>0.86852257764486041</v>
      </c>
      <c r="AG80" s="13">
        <f t="shared" ref="AG80:AG95" si="95">57.3*ASIN(SIN($B$2/57.3)*SIN(AE80/57.3)+COS($B$2/57.3)*COS(AD80/57.3)*COS(AE80/57.6))</f>
        <v>-28.753170262701836</v>
      </c>
      <c r="AH80" s="1132">
        <f>IF(AG80&lt;0,0,1)</f>
        <v>0</v>
      </c>
      <c r="AI80" s="1132">
        <f>IF(AF80&lt;0,0,1)</f>
        <v>1</v>
      </c>
      <c r="AJ80" s="187">
        <f>AF80*AI80*AH80</f>
        <v>0</v>
      </c>
      <c r="AK80" s="1136">
        <f>AA80*AJ80+((1+COS($Z$2/57.3))/2)*AB80+((1-COS($Z$2/57.3))/2)*(AA80+AB80)*0.2</f>
        <v>0</v>
      </c>
      <c r="AR80" s="1132">
        <v>5</v>
      </c>
      <c r="AS80" s="44">
        <v>136</v>
      </c>
      <c r="AT80" s="1135">
        <f t="shared" si="88"/>
        <v>0</v>
      </c>
      <c r="AU80" s="1135">
        <f t="shared" si="86"/>
        <v>0</v>
      </c>
      <c r="AV80" s="1132">
        <f t="shared" si="89"/>
        <v>4.5</v>
      </c>
      <c r="AW80" s="1133">
        <f>15*(AV80-12)</f>
        <v>-112.5</v>
      </c>
      <c r="AX80" s="186">
        <f t="shared" ref="AX80:AX95" si="96">23.45*SIN(360*(284+AS80)/365/57.3)</f>
        <v>19.023291617700689</v>
      </c>
      <c r="AY80" s="40">
        <f t="shared" ref="AY80:AY95" si="97">((SIN(AX80/57.3)*SIN($B$2/57.3)*COS($AS$2/57.3))-SIN(AX80/57.3)*COS($B$2/57.3)*SIN($AS$2/57.3)*COS($AS$3/57.3)+COS(AX80/57.3)*COS($B$2/57.3)*COS($AS$2/57.3)*COS(AW80/57.3)+COS(AX80/57.3)*SIN($B$2/57.3)*SIN($AS$2/57.3)*COS($AS$3/57.3)*COS(AW80/57.3)+COS(AX80/57.3)*SIN($AS$2/57.3)*SIN($AS$3/57.3)*SIN(AW80/57.3))/(COS($B$2/57.3)*COS(AX80/57.3)*COS(AW80/57.3)+SIN($B$2/57.3)*SIN(AX80/57.3))</f>
        <v>0.86852257764486041</v>
      </c>
      <c r="AZ80" s="13">
        <f t="shared" ref="AZ80:AZ95" si="98">57.3*ASIN(SIN($B$2/57.3)*SIN(AX80/57.3)+COS($B$2/57.3)*COS(AW80/57.3)*COS(AX80/57.6))</f>
        <v>-28.753170262701836</v>
      </c>
      <c r="BA80" s="1132">
        <f>IF(AZ80&lt;0,0,1)</f>
        <v>0</v>
      </c>
      <c r="BB80" s="1132">
        <f>IF(AY80&lt;0,0,1)</f>
        <v>1</v>
      </c>
      <c r="BC80" s="187">
        <f>AY80*BB80*BA80</f>
        <v>0</v>
      </c>
      <c r="BD80" s="1136">
        <f t="shared" ref="BD80:BD95" si="99">AT80*BC80+((1+COS($Z$2/57.3))/2)*AU80+((1-COS($Z$2/57.3))/2)*(AT80+AU80)*0.2</f>
        <v>0</v>
      </c>
      <c r="BG80" s="1132"/>
      <c r="BH80" s="1132"/>
      <c r="BI80" s="1132"/>
    </row>
    <row r="81" spans="1:61" x14ac:dyDescent="0.2">
      <c r="A81" s="1135">
        <v>0</v>
      </c>
      <c r="B81" s="1135">
        <v>0</v>
      </c>
      <c r="C81" s="1135"/>
      <c r="D81" s="1135">
        <v>0</v>
      </c>
      <c r="E81" s="187">
        <v>0</v>
      </c>
      <c r="F81" s="187"/>
      <c r="G81" s="187">
        <v>0</v>
      </c>
      <c r="H81" s="187">
        <v>0</v>
      </c>
      <c r="I81" s="187"/>
      <c r="J81" s="187">
        <v>0</v>
      </c>
      <c r="K81" s="187">
        <v>0</v>
      </c>
      <c r="L81" s="187"/>
      <c r="M81" s="187">
        <v>0</v>
      </c>
      <c r="N81" s="187">
        <v>0</v>
      </c>
      <c r="O81" s="187"/>
      <c r="P81" s="187">
        <v>0</v>
      </c>
      <c r="Q81" s="187">
        <v>0</v>
      </c>
      <c r="R81" s="187"/>
      <c r="S81" s="187">
        <v>0</v>
      </c>
      <c r="T81" s="187">
        <v>0</v>
      </c>
      <c r="U81" s="187"/>
      <c r="V81" s="1138">
        <f t="shared" si="90"/>
        <v>0</v>
      </c>
      <c r="W81" s="1138">
        <f t="shared" si="91"/>
        <v>0</v>
      </c>
      <c r="Y81" s="1132">
        <v>6</v>
      </c>
      <c r="Z81" s="44">
        <v>136</v>
      </c>
      <c r="AA81" s="1135">
        <f t="shared" ref="AA81:AA95" si="100">V81</f>
        <v>0</v>
      </c>
      <c r="AB81" s="1135">
        <f t="shared" si="92"/>
        <v>0</v>
      </c>
      <c r="AC81" s="1132">
        <f t="shared" si="87"/>
        <v>5.5</v>
      </c>
      <c r="AD81" s="1133">
        <f t="shared" ref="AD81:AD95" si="101">15*(AC81-12)</f>
        <v>-97.5</v>
      </c>
      <c r="AE81" s="186">
        <f t="shared" si="93"/>
        <v>19.023291617700689</v>
      </c>
      <c r="AF81" s="40">
        <f t="shared" si="94"/>
        <v>0.67430047852861719</v>
      </c>
      <c r="AG81" s="13">
        <f t="shared" si="95"/>
        <v>-16.318646270702438</v>
      </c>
      <c r="AH81" s="1132">
        <f t="shared" ref="AH81:AH95" si="102">IF(AG81&lt;0,0,1)</f>
        <v>0</v>
      </c>
      <c r="AI81" s="1132">
        <f t="shared" ref="AI81:AI95" si="103">IF(AF81&lt;0,0,1)</f>
        <v>1</v>
      </c>
      <c r="AJ81" s="187">
        <f t="shared" ref="AJ81:AJ95" si="104">AF81*AI81*AH81</f>
        <v>0</v>
      </c>
      <c r="AK81" s="1136">
        <f t="shared" ref="AK81:AK95" si="105">AA81*AJ81+((1+COS($Z$2/57.3))/2)*AB81+((1-COS($Z$2/57.3))/2)*(AA81+AB81)*0.15</f>
        <v>0</v>
      </c>
      <c r="AR81" s="1132">
        <v>6</v>
      </c>
      <c r="AS81" s="44">
        <v>136</v>
      </c>
      <c r="AT81" s="1135">
        <f t="shared" si="88"/>
        <v>0</v>
      </c>
      <c r="AU81" s="1135">
        <f t="shared" si="86"/>
        <v>0</v>
      </c>
      <c r="AV81" s="1132">
        <f t="shared" si="89"/>
        <v>5.5</v>
      </c>
      <c r="AW81" s="1133">
        <f t="shared" ref="AW81:AW95" si="106">15*(AV81-12)</f>
        <v>-97.5</v>
      </c>
      <c r="AX81" s="186">
        <f t="shared" si="96"/>
        <v>19.023291617700689</v>
      </c>
      <c r="AY81" s="40">
        <f t="shared" si="97"/>
        <v>0.67430047852861719</v>
      </c>
      <c r="AZ81" s="13">
        <f t="shared" si="98"/>
        <v>-16.318646270702438</v>
      </c>
      <c r="BA81" s="1132">
        <f t="shared" ref="BA81:BA95" si="107">IF(AZ81&lt;0,0,1)</f>
        <v>0</v>
      </c>
      <c r="BB81" s="1132">
        <f t="shared" ref="BB81:BB95" si="108">IF(AY81&lt;0,0,1)</f>
        <v>1</v>
      </c>
      <c r="BC81" s="187">
        <f t="shared" ref="BC81:BC95" si="109">AY81*BB81*BA81</f>
        <v>0</v>
      </c>
      <c r="BD81" s="1136">
        <f t="shared" si="99"/>
        <v>0</v>
      </c>
      <c r="BG81" s="1132"/>
      <c r="BH81" s="1132"/>
      <c r="BI81" s="1132"/>
    </row>
    <row r="82" spans="1:61" x14ac:dyDescent="0.2">
      <c r="A82" s="1135">
        <v>4.4477238264339981E-5</v>
      </c>
      <c r="B82" s="1135">
        <v>6.6176739356942212E-4</v>
      </c>
      <c r="C82" s="1135"/>
      <c r="D82" s="1135">
        <v>1.446029083777338E-5</v>
      </c>
      <c r="E82" s="187">
        <v>1.2291247212107374E-4</v>
      </c>
      <c r="F82" s="187"/>
      <c r="G82" s="187">
        <v>6.7175109528582303E-6</v>
      </c>
      <c r="H82" s="187">
        <v>1.0971934556335111E-4</v>
      </c>
      <c r="I82" s="187"/>
      <c r="J82" s="187">
        <v>6.9960388625032782E-4</v>
      </c>
      <c r="K82" s="187">
        <v>5.3209309658475094E-3</v>
      </c>
      <c r="L82" s="187"/>
      <c r="M82" s="187">
        <v>0</v>
      </c>
      <c r="N82" s="187">
        <v>9.0981762893076824E-6</v>
      </c>
      <c r="O82" s="187"/>
      <c r="P82" s="187">
        <v>0</v>
      </c>
      <c r="Q82" s="187">
        <v>0</v>
      </c>
      <c r="R82" s="187"/>
      <c r="S82" s="187">
        <v>0</v>
      </c>
      <c r="T82" s="187">
        <v>0</v>
      </c>
      <c r="U82" s="187"/>
      <c r="V82" s="1138">
        <f t="shared" si="90"/>
        <v>6.7175109528582303E-6</v>
      </c>
      <c r="W82" s="1138">
        <f t="shared" si="91"/>
        <v>1.0971934556335111E-4</v>
      </c>
      <c r="Y82" s="1132">
        <v>7</v>
      </c>
      <c r="Z82" s="44">
        <v>136</v>
      </c>
      <c r="AA82" s="1135">
        <f t="shared" si="100"/>
        <v>6.7175109528582303E-6</v>
      </c>
      <c r="AB82" s="1135">
        <f t="shared" si="92"/>
        <v>1.0971934556335111E-4</v>
      </c>
      <c r="AC82" s="1132">
        <f t="shared" si="87"/>
        <v>6.5</v>
      </c>
      <c r="AD82" s="1133">
        <f t="shared" si="101"/>
        <v>-82.5</v>
      </c>
      <c r="AE82" s="186">
        <f t="shared" si="93"/>
        <v>19.023291617700689</v>
      </c>
      <c r="AF82" s="40">
        <f t="shared" si="94"/>
        <v>-0.73342263373548144</v>
      </c>
      <c r="AG82" s="13">
        <f t="shared" si="95"/>
        <v>-4.2362421394106864</v>
      </c>
      <c r="AH82" s="1132">
        <f t="shared" si="102"/>
        <v>0</v>
      </c>
      <c r="AI82" s="1132">
        <f t="shared" si="103"/>
        <v>0</v>
      </c>
      <c r="AJ82" s="187">
        <f t="shared" si="104"/>
        <v>0</v>
      </c>
      <c r="AK82" s="1136">
        <f t="shared" si="105"/>
        <v>9.8929223580674009E-5</v>
      </c>
      <c r="AR82" s="1132">
        <v>7</v>
      </c>
      <c r="AS82" s="44">
        <v>136</v>
      </c>
      <c r="AT82" s="1135">
        <f t="shared" si="88"/>
        <v>6.7175109528582303E-6</v>
      </c>
      <c r="AU82" s="1135">
        <f t="shared" si="86"/>
        <v>1.0971934556335111E-4</v>
      </c>
      <c r="AV82" s="1132">
        <f t="shared" si="89"/>
        <v>6.5</v>
      </c>
      <c r="AW82" s="1133">
        <f t="shared" si="106"/>
        <v>-82.5</v>
      </c>
      <c r="AX82" s="186">
        <f t="shared" si="96"/>
        <v>19.023291617700689</v>
      </c>
      <c r="AY82" s="40">
        <f t="shared" si="97"/>
        <v>-0.73342263373548144</v>
      </c>
      <c r="AZ82" s="13">
        <f t="shared" si="98"/>
        <v>-4.2362421394106864</v>
      </c>
      <c r="BA82" s="1132">
        <f t="shared" si="107"/>
        <v>0</v>
      </c>
      <c r="BB82" s="1132">
        <f t="shared" si="108"/>
        <v>0</v>
      </c>
      <c r="BC82" s="187">
        <f t="shared" si="109"/>
        <v>0</v>
      </c>
      <c r="BD82" s="1136">
        <f t="shared" si="99"/>
        <v>9.9610153608707029E-5</v>
      </c>
      <c r="BG82" s="1132"/>
      <c r="BH82" s="1132"/>
      <c r="BI82" s="1132"/>
    </row>
    <row r="83" spans="1:61" x14ac:dyDescent="0.2">
      <c r="A83" s="1135">
        <v>8.4658549832212025E-3</v>
      </c>
      <c r="B83" s="1135">
        <v>2.0205594904755833E-2</v>
      </c>
      <c r="C83" s="1135"/>
      <c r="D83" s="1135">
        <v>1.4033634648852962E-3</v>
      </c>
      <c r="E83" s="187">
        <v>1.6641887592959041E-2</v>
      </c>
      <c r="F83" s="187"/>
      <c r="G83" s="187">
        <v>3.0542283132328762E-3</v>
      </c>
      <c r="H83" s="187">
        <v>1.4729262349300481E-2</v>
      </c>
      <c r="I83" s="187"/>
      <c r="J83" s="187">
        <v>9.1638255522929236E-3</v>
      </c>
      <c r="K83" s="187">
        <v>1.8977987111522772E-2</v>
      </c>
      <c r="L83" s="187"/>
      <c r="M83" s="187">
        <v>4.2458156016769185E-4</v>
      </c>
      <c r="N83" s="187">
        <v>9.1224380927458389E-3</v>
      </c>
      <c r="O83" s="187"/>
      <c r="P83" s="187">
        <v>4.6669333287623418E-4</v>
      </c>
      <c r="Q83" s="187">
        <v>5.4223222294825972E-3</v>
      </c>
      <c r="R83" s="187"/>
      <c r="S83" s="187">
        <v>1.8026520010459758E-5</v>
      </c>
      <c r="T83" s="187">
        <v>5.6483096032773909E-4</v>
      </c>
      <c r="U83" s="187"/>
      <c r="V83" s="1138">
        <f t="shared" si="90"/>
        <v>3.0542283132328762E-3</v>
      </c>
      <c r="W83" s="1138">
        <f t="shared" si="91"/>
        <v>1.4729262349300481E-2</v>
      </c>
      <c r="Y83" s="1132">
        <v>8</v>
      </c>
      <c r="Z83" s="44">
        <v>136</v>
      </c>
      <c r="AA83" s="1135">
        <f t="shared" si="100"/>
        <v>3.0542283132328762E-3</v>
      </c>
      <c r="AB83" s="1135">
        <f t="shared" si="92"/>
        <v>1.4729262349300481E-2</v>
      </c>
      <c r="AC83" s="1132">
        <f t="shared" si="87"/>
        <v>7.5</v>
      </c>
      <c r="AD83" s="1133">
        <f t="shared" si="101"/>
        <v>-67.5</v>
      </c>
      <c r="AE83" s="186">
        <f t="shared" si="93"/>
        <v>19.023291617700689</v>
      </c>
      <c r="AF83" s="40">
        <f t="shared" si="94"/>
        <v>2.3547656054616248</v>
      </c>
      <c r="AG83" s="13">
        <f t="shared" si="95"/>
        <v>7.2488581116714688</v>
      </c>
      <c r="AH83" s="1132">
        <f t="shared" si="102"/>
        <v>1</v>
      </c>
      <c r="AI83" s="1132">
        <f t="shared" si="103"/>
        <v>1</v>
      </c>
      <c r="AJ83" s="187">
        <f t="shared" si="104"/>
        <v>2.3547656054616248</v>
      </c>
      <c r="AK83" s="1136">
        <f t="shared" si="105"/>
        <v>2.0510498062526222E-2</v>
      </c>
      <c r="AR83" s="1132">
        <v>8</v>
      </c>
      <c r="AS83" s="44">
        <v>136</v>
      </c>
      <c r="AT83" s="1135">
        <f t="shared" si="88"/>
        <v>3.0542283132328762E-3</v>
      </c>
      <c r="AU83" s="1135">
        <f t="shared" si="86"/>
        <v>1.4729262349300481E-2</v>
      </c>
      <c r="AV83" s="1132">
        <f t="shared" si="89"/>
        <v>7.5</v>
      </c>
      <c r="AW83" s="1133">
        <f t="shared" si="106"/>
        <v>-67.5</v>
      </c>
      <c r="AX83" s="186">
        <f t="shared" si="96"/>
        <v>19.023291617700689</v>
      </c>
      <c r="AY83" s="40">
        <f t="shared" si="97"/>
        <v>2.3547656054616248</v>
      </c>
      <c r="AZ83" s="13">
        <f t="shared" si="98"/>
        <v>7.2488581116714688</v>
      </c>
      <c r="BA83" s="1132">
        <f t="shared" si="107"/>
        <v>1</v>
      </c>
      <c r="BB83" s="1132">
        <f t="shared" si="108"/>
        <v>1</v>
      </c>
      <c r="BC83" s="187">
        <f t="shared" si="109"/>
        <v>2.3547656054616248</v>
      </c>
      <c r="BD83" s="1136">
        <f t="shared" si="99"/>
        <v>2.0614497029500037E-2</v>
      </c>
      <c r="BG83" s="1132"/>
      <c r="BH83" s="1132"/>
      <c r="BI83" s="1132"/>
    </row>
    <row r="84" spans="1:61" x14ac:dyDescent="0.2">
      <c r="A84" s="1135">
        <v>3.9203900889910721E-2</v>
      </c>
      <c r="B84" s="1135">
        <v>3.4186798471062471E-2</v>
      </c>
      <c r="C84" s="1135"/>
      <c r="D84" s="1135">
        <v>2.1101460204377788E-2</v>
      </c>
      <c r="E84" s="187">
        <v>4.5867042178411588E-2</v>
      </c>
      <c r="F84" s="187"/>
      <c r="G84" s="187">
        <v>2.8453784121350901E-2</v>
      </c>
      <c r="H84" s="187">
        <v>3.9248806535532539E-2</v>
      </c>
      <c r="I84" s="187"/>
      <c r="J84" s="187">
        <v>2.1530063259957037E-2</v>
      </c>
      <c r="K84" s="187">
        <v>4.2912322881973872E-2</v>
      </c>
      <c r="L84" s="187"/>
      <c r="M84" s="187">
        <v>1.368178312185362E-2</v>
      </c>
      <c r="N84" s="187">
        <v>4.1848527699222017E-2</v>
      </c>
      <c r="O84" s="187"/>
      <c r="P84" s="187">
        <v>1.1329949366228855E-2</v>
      </c>
      <c r="Q84" s="187">
        <v>4.5961743494312299E-2</v>
      </c>
      <c r="R84" s="187"/>
      <c r="S84" s="187">
        <v>3.4724380601475731E-3</v>
      </c>
      <c r="T84" s="187">
        <v>2.4035101876518208E-2</v>
      </c>
      <c r="U84" s="187"/>
      <c r="V84" s="1138">
        <f t="shared" si="90"/>
        <v>2.8453784121350901E-2</v>
      </c>
      <c r="W84" s="1138">
        <f t="shared" si="91"/>
        <v>3.9248806535532539E-2</v>
      </c>
      <c r="Y84" s="1132">
        <v>9</v>
      </c>
      <c r="Z84" s="44">
        <v>136</v>
      </c>
      <c r="AA84" s="1135">
        <f t="shared" si="100"/>
        <v>2.8453784121350901E-2</v>
      </c>
      <c r="AB84" s="1135">
        <f t="shared" si="92"/>
        <v>3.9248806535532539E-2</v>
      </c>
      <c r="AC84" s="1132">
        <f t="shared" si="87"/>
        <v>8.5</v>
      </c>
      <c r="AD84" s="1133">
        <f t="shared" si="101"/>
        <v>-52.5</v>
      </c>
      <c r="AE84" s="186">
        <f t="shared" si="93"/>
        <v>19.023291617700689</v>
      </c>
      <c r="AF84" s="40">
        <f t="shared" si="94"/>
        <v>1.7083871204679388</v>
      </c>
      <c r="AG84" s="13">
        <f t="shared" si="95"/>
        <v>17.790266674350175</v>
      </c>
      <c r="AH84" s="1132">
        <f t="shared" si="102"/>
        <v>1</v>
      </c>
      <c r="AI84" s="1132">
        <f t="shared" si="103"/>
        <v>1</v>
      </c>
      <c r="AJ84" s="187">
        <f t="shared" si="104"/>
        <v>1.7083871204679388</v>
      </c>
      <c r="AK84" s="1136">
        <f t="shared" si="105"/>
        <v>8.4456082259263654E-2</v>
      </c>
      <c r="AR84" s="1132">
        <v>9</v>
      </c>
      <c r="AS84" s="44">
        <v>136</v>
      </c>
      <c r="AT84" s="1135">
        <f t="shared" si="88"/>
        <v>2.8453784121350901E-2</v>
      </c>
      <c r="AU84" s="1135">
        <f t="shared" si="86"/>
        <v>3.9248806535532539E-2</v>
      </c>
      <c r="AV84" s="1132">
        <f t="shared" si="89"/>
        <v>8.5</v>
      </c>
      <c r="AW84" s="1133">
        <f t="shared" si="106"/>
        <v>-52.5</v>
      </c>
      <c r="AX84" s="186">
        <f t="shared" si="96"/>
        <v>19.023291617700689</v>
      </c>
      <c r="AY84" s="40">
        <f t="shared" si="97"/>
        <v>1.7083871204679388</v>
      </c>
      <c r="AZ84" s="13">
        <f t="shared" si="98"/>
        <v>17.790266674350175</v>
      </c>
      <c r="BA84" s="1132">
        <f t="shared" si="107"/>
        <v>1</v>
      </c>
      <c r="BB84" s="1132">
        <f t="shared" si="108"/>
        <v>1</v>
      </c>
      <c r="BC84" s="187">
        <f t="shared" si="109"/>
        <v>1.7083871204679388</v>
      </c>
      <c r="BD84" s="1136">
        <f t="shared" si="99"/>
        <v>8.4852011248874273E-2</v>
      </c>
      <c r="BG84" s="1132"/>
      <c r="BH84" s="1132"/>
      <c r="BI84" s="1132"/>
    </row>
    <row r="85" spans="1:61" x14ac:dyDescent="0.2">
      <c r="A85" s="1135">
        <v>7.4710977923299809E-2</v>
      </c>
      <c r="B85" s="1135">
        <v>3.9087405663761329E-2</v>
      </c>
      <c r="C85" s="1135"/>
      <c r="D85" s="1135">
        <v>5.2353482978158512E-2</v>
      </c>
      <c r="E85" s="187">
        <v>6.5377384926046403E-2</v>
      </c>
      <c r="F85" s="187"/>
      <c r="G85" s="187">
        <v>5.9816004952048224E-2</v>
      </c>
      <c r="H85" s="187">
        <v>5.6323990565113238E-2</v>
      </c>
      <c r="I85" s="187"/>
      <c r="J85" s="187">
        <v>3.5315215891847149E-2</v>
      </c>
      <c r="K85" s="187">
        <v>7.3054411445913764E-2</v>
      </c>
      <c r="L85" s="187"/>
      <c r="M85" s="187">
        <v>4.2876172190712249E-2</v>
      </c>
      <c r="N85" s="187">
        <v>6.8457726704351782E-2</v>
      </c>
      <c r="O85" s="187"/>
      <c r="P85" s="187">
        <v>4.2048703751335605E-2</v>
      </c>
      <c r="Q85" s="187">
        <v>7.3279306787499859E-2</v>
      </c>
      <c r="R85" s="187"/>
      <c r="S85" s="187">
        <v>4.0135535974542148E-2</v>
      </c>
      <c r="T85" s="187">
        <v>6.8936271837919866E-2</v>
      </c>
      <c r="U85" s="187"/>
      <c r="V85" s="1138">
        <f t="shared" si="90"/>
        <v>5.9816004952048224E-2</v>
      </c>
      <c r="W85" s="1138">
        <f t="shared" si="91"/>
        <v>5.6323990565113238E-2</v>
      </c>
      <c r="Y85" s="1132">
        <v>10</v>
      </c>
      <c r="Z85" s="44">
        <v>136</v>
      </c>
      <c r="AA85" s="1135">
        <f t="shared" si="100"/>
        <v>5.9816004952048224E-2</v>
      </c>
      <c r="AB85" s="1135">
        <f t="shared" si="92"/>
        <v>5.6323990565113238E-2</v>
      </c>
      <c r="AC85" s="1132">
        <f t="shared" si="87"/>
        <v>9.5</v>
      </c>
      <c r="AD85" s="1133">
        <f t="shared" si="101"/>
        <v>-37.5</v>
      </c>
      <c r="AE85" s="186">
        <f t="shared" si="93"/>
        <v>19.023291617700689</v>
      </c>
      <c r="AF85" s="40">
        <f t="shared" si="94"/>
        <v>1.579391057562417</v>
      </c>
      <c r="AG85" s="13">
        <f t="shared" si="95"/>
        <v>26.87031623548922</v>
      </c>
      <c r="AH85" s="1132">
        <f t="shared" si="102"/>
        <v>1</v>
      </c>
      <c r="AI85" s="1132">
        <f t="shared" si="103"/>
        <v>1</v>
      </c>
      <c r="AJ85" s="187">
        <f t="shared" si="104"/>
        <v>1.579391057562417</v>
      </c>
      <c r="AK85" s="1136">
        <f t="shared" si="105"/>
        <v>0.14624671130923919</v>
      </c>
      <c r="AR85" s="1132">
        <v>10</v>
      </c>
      <c r="AS85" s="44">
        <v>136</v>
      </c>
      <c r="AT85" s="1135">
        <f t="shared" si="88"/>
        <v>5.9816004952048224E-2</v>
      </c>
      <c r="AU85" s="1135">
        <f t="shared" si="86"/>
        <v>5.6323990565113238E-2</v>
      </c>
      <c r="AV85" s="1132">
        <f t="shared" si="89"/>
        <v>9.5</v>
      </c>
      <c r="AW85" s="1133">
        <f t="shared" si="106"/>
        <v>-37.5</v>
      </c>
      <c r="AX85" s="186">
        <f t="shared" si="96"/>
        <v>19.023291617700689</v>
      </c>
      <c r="AY85" s="40">
        <f t="shared" si="97"/>
        <v>1.579391057562417</v>
      </c>
      <c r="AZ85" s="13">
        <f t="shared" si="98"/>
        <v>26.87031623548922</v>
      </c>
      <c r="BA85" s="1132">
        <f t="shared" si="107"/>
        <v>1</v>
      </c>
      <c r="BB85" s="1132">
        <f t="shared" si="108"/>
        <v>1</v>
      </c>
      <c r="BC85" s="187">
        <f t="shared" si="109"/>
        <v>1.579391057562417</v>
      </c>
      <c r="BD85" s="1136">
        <f t="shared" si="99"/>
        <v>0.14692590527556074</v>
      </c>
      <c r="BG85" s="1132"/>
      <c r="BH85" s="1132"/>
      <c r="BI85" s="1132"/>
    </row>
    <row r="86" spans="1:61" x14ac:dyDescent="0.2">
      <c r="A86" s="1135">
        <v>8.8804871272699912E-2</v>
      </c>
      <c r="B86" s="1135">
        <v>5.164481260039331E-2</v>
      </c>
      <c r="C86" s="1135"/>
      <c r="D86" s="1135">
        <v>6.2842013932490129E-2</v>
      </c>
      <c r="E86" s="187">
        <v>7.4839235230896112E-2</v>
      </c>
      <c r="F86" s="187"/>
      <c r="G86" s="187">
        <v>6.6785493893316533E-2</v>
      </c>
      <c r="H86" s="187">
        <v>7.2611815059762247E-2</v>
      </c>
      <c r="I86" s="187"/>
      <c r="J86" s="187">
        <v>5.2726484441203675E-2</v>
      </c>
      <c r="K86" s="187">
        <v>8.4248073625918879E-2</v>
      </c>
      <c r="L86" s="187"/>
      <c r="M86" s="187">
        <v>6.8475907478759396E-2</v>
      </c>
      <c r="N86" s="187">
        <v>8.4725250331462915E-2</v>
      </c>
      <c r="O86" s="187"/>
      <c r="P86" s="187">
        <v>6.0618150051804917E-2</v>
      </c>
      <c r="Q86" s="187">
        <v>9.1255671924542023E-2</v>
      </c>
      <c r="R86" s="187"/>
      <c r="S86" s="187">
        <v>7.4924226003474245E-2</v>
      </c>
      <c r="T86" s="187">
        <v>9.4663265414927672E-2</v>
      </c>
      <c r="U86" s="187"/>
      <c r="V86" s="1138">
        <f t="shared" si="90"/>
        <v>6.6785493893316533E-2</v>
      </c>
      <c r="W86" s="1138">
        <f t="shared" si="91"/>
        <v>7.2611815059762247E-2</v>
      </c>
      <c r="Y86" s="1132">
        <v>11</v>
      </c>
      <c r="Z86" s="44">
        <v>136</v>
      </c>
      <c r="AA86" s="1135">
        <f t="shared" si="100"/>
        <v>6.6785493893316533E-2</v>
      </c>
      <c r="AB86" s="1135">
        <f t="shared" si="92"/>
        <v>7.2611815059762247E-2</v>
      </c>
      <c r="AC86" s="1132">
        <f t="shared" si="87"/>
        <v>10.5</v>
      </c>
      <c r="AD86" s="1133">
        <f t="shared" si="101"/>
        <v>-22.5</v>
      </c>
      <c r="AE86" s="186">
        <f t="shared" si="93"/>
        <v>19.023291617700689</v>
      </c>
      <c r="AF86" s="40">
        <f t="shared" si="94"/>
        <v>1.5474180397761694</v>
      </c>
      <c r="AG86" s="13">
        <f t="shared" si="95"/>
        <v>33.74644420582672</v>
      </c>
      <c r="AH86" s="1132">
        <f t="shared" si="102"/>
        <v>1</v>
      </c>
      <c r="AI86" s="1132">
        <f t="shared" si="103"/>
        <v>1</v>
      </c>
      <c r="AJ86" s="187">
        <f t="shared" si="104"/>
        <v>1.5474180397761694</v>
      </c>
      <c r="AK86" s="1136">
        <f t="shared" si="105"/>
        <v>0.16990973685399544</v>
      </c>
      <c r="AR86" s="1132">
        <v>11</v>
      </c>
      <c r="AS86" s="44">
        <v>136</v>
      </c>
      <c r="AT86" s="1135">
        <f t="shared" si="88"/>
        <v>6.6785493893316533E-2</v>
      </c>
      <c r="AU86" s="1135">
        <f t="shared" si="86"/>
        <v>7.2611815059762247E-2</v>
      </c>
      <c r="AV86" s="1132">
        <f t="shared" si="89"/>
        <v>10.5</v>
      </c>
      <c r="AW86" s="1133">
        <f t="shared" si="106"/>
        <v>-22.5</v>
      </c>
      <c r="AX86" s="186">
        <f t="shared" si="96"/>
        <v>19.023291617700689</v>
      </c>
      <c r="AY86" s="40">
        <f t="shared" si="97"/>
        <v>1.5474180397761694</v>
      </c>
      <c r="AZ86" s="13">
        <f t="shared" si="98"/>
        <v>33.74644420582672</v>
      </c>
      <c r="BA86" s="1132">
        <f t="shared" si="107"/>
        <v>1</v>
      </c>
      <c r="BB86" s="1132">
        <f t="shared" si="108"/>
        <v>1</v>
      </c>
      <c r="BC86" s="187">
        <f t="shared" si="109"/>
        <v>1.5474180397761694</v>
      </c>
      <c r="BD86" s="1136">
        <f t="shared" si="99"/>
        <v>0.17072494104563327</v>
      </c>
      <c r="BG86" s="1132"/>
      <c r="BH86" s="1132"/>
      <c r="BI86" s="1132"/>
    </row>
    <row r="87" spans="1:61" x14ac:dyDescent="0.2">
      <c r="A87" s="1135">
        <v>8.8963911094372405E-2</v>
      </c>
      <c r="B87" s="1135">
        <v>5.4019627564689275E-2</v>
      </c>
      <c r="C87" s="1135"/>
      <c r="D87" s="1135">
        <v>7.5465847833866284E-2</v>
      </c>
      <c r="E87" s="187">
        <v>8.3970908894949986E-2</v>
      </c>
      <c r="F87" s="187"/>
      <c r="G87" s="187">
        <v>8.1418471918959401E-2</v>
      </c>
      <c r="H87" s="187">
        <v>7.7441705434867295E-2</v>
      </c>
      <c r="I87" s="187"/>
      <c r="J87" s="187">
        <v>6.2402695938356005E-2</v>
      </c>
      <c r="K87" s="187">
        <v>9.3648384998916173E-2</v>
      </c>
      <c r="L87" s="187"/>
      <c r="M87" s="187">
        <v>7.7231385794503143E-2</v>
      </c>
      <c r="N87" s="187">
        <v>9.3147128849932037E-2</v>
      </c>
      <c r="O87" s="187"/>
      <c r="P87" s="187">
        <v>6.066319419079938E-2</v>
      </c>
      <c r="Q87" s="187">
        <v>0.10895426487111828</v>
      </c>
      <c r="R87" s="187"/>
      <c r="S87" s="187">
        <v>8.9123114931713043E-2</v>
      </c>
      <c r="T87" s="187">
        <v>0.10412718842041901</v>
      </c>
      <c r="U87" s="187"/>
      <c r="V87" s="1138">
        <f t="shared" si="90"/>
        <v>8.1418471918959401E-2</v>
      </c>
      <c r="W87" s="1138">
        <f t="shared" si="91"/>
        <v>7.7441705434867295E-2</v>
      </c>
      <c r="Y87" s="1132">
        <v>12</v>
      </c>
      <c r="Z87" s="44">
        <v>136</v>
      </c>
      <c r="AA87" s="1135">
        <f t="shared" si="100"/>
        <v>8.1418471918959401E-2</v>
      </c>
      <c r="AB87" s="1135">
        <f t="shared" si="92"/>
        <v>7.7441705434867295E-2</v>
      </c>
      <c r="AC87" s="1132">
        <f t="shared" si="87"/>
        <v>11.5</v>
      </c>
      <c r="AD87" s="1133">
        <f t="shared" si="101"/>
        <v>-7.5</v>
      </c>
      <c r="AE87" s="186">
        <f t="shared" si="93"/>
        <v>19.023291617700689</v>
      </c>
      <c r="AF87" s="40">
        <f t="shared" si="94"/>
        <v>1.5585936003765168</v>
      </c>
      <c r="AG87" s="13">
        <f t="shared" si="95"/>
        <v>37.525696188646293</v>
      </c>
      <c r="AH87" s="1132">
        <f t="shared" si="102"/>
        <v>1</v>
      </c>
      <c r="AI87" s="1132">
        <f t="shared" si="103"/>
        <v>1</v>
      </c>
      <c r="AJ87" s="187">
        <f t="shared" si="104"/>
        <v>1.5585936003765168</v>
      </c>
      <c r="AK87" s="1136">
        <f t="shared" si="105"/>
        <v>0.19806940866088588</v>
      </c>
      <c r="AR87" s="1132">
        <v>12</v>
      </c>
      <c r="AS87" s="44">
        <v>136</v>
      </c>
      <c r="AT87" s="1135">
        <f t="shared" si="88"/>
        <v>8.1418471918959401E-2</v>
      </c>
      <c r="AU87" s="1135">
        <f t="shared" si="86"/>
        <v>7.7441705434867295E-2</v>
      </c>
      <c r="AV87" s="1132">
        <f t="shared" si="89"/>
        <v>11.5</v>
      </c>
      <c r="AW87" s="1133">
        <f t="shared" si="106"/>
        <v>-7.5</v>
      </c>
      <c r="AX87" s="186">
        <f t="shared" si="96"/>
        <v>19.023291617700689</v>
      </c>
      <c r="AY87" s="40">
        <f t="shared" si="97"/>
        <v>1.5585936003765168</v>
      </c>
      <c r="AZ87" s="13">
        <f t="shared" si="98"/>
        <v>37.525696188646293</v>
      </c>
      <c r="BA87" s="1132">
        <f t="shared" si="107"/>
        <v>1</v>
      </c>
      <c r="BB87" s="1132">
        <f t="shared" si="108"/>
        <v>1</v>
      </c>
      <c r="BC87" s="187">
        <f t="shared" si="109"/>
        <v>1.5585936003765168</v>
      </c>
      <c r="BD87" s="1136">
        <f t="shared" si="99"/>
        <v>0.1989984329256711</v>
      </c>
      <c r="BG87" s="1132"/>
      <c r="BH87" s="1132"/>
      <c r="BI87" s="1132"/>
    </row>
    <row r="88" spans="1:61" x14ac:dyDescent="0.2">
      <c r="A88" s="1135">
        <v>8.8963911094372405E-2</v>
      </c>
      <c r="B88" s="1135">
        <v>5.4019627564689275E-2</v>
      </c>
      <c r="C88" s="1135"/>
      <c r="D88" s="1135">
        <v>7.5465847833866284E-2</v>
      </c>
      <c r="E88" s="187">
        <v>8.3970908894949986E-2</v>
      </c>
      <c r="F88" s="187"/>
      <c r="G88" s="187">
        <v>8.1418471918959401E-2</v>
      </c>
      <c r="H88" s="187">
        <v>7.7441705434867295E-2</v>
      </c>
      <c r="I88" s="187"/>
      <c r="J88" s="187">
        <v>6.2402695938356005E-2</v>
      </c>
      <c r="K88" s="187">
        <v>9.3648384998916173E-2</v>
      </c>
      <c r="L88" s="187"/>
      <c r="M88" s="187">
        <v>7.7231385794503143E-2</v>
      </c>
      <c r="N88" s="187">
        <v>9.3147128849932037E-2</v>
      </c>
      <c r="O88" s="187"/>
      <c r="P88" s="187">
        <v>6.066319419079938E-2</v>
      </c>
      <c r="Q88" s="187">
        <v>0.10895426487111828</v>
      </c>
      <c r="R88" s="187"/>
      <c r="S88" s="187">
        <v>8.9123114931713043E-2</v>
      </c>
      <c r="T88" s="187">
        <v>0.10412718842041901</v>
      </c>
      <c r="U88" s="187"/>
      <c r="V88" s="1138">
        <f t="shared" si="90"/>
        <v>8.1418471918959401E-2</v>
      </c>
      <c r="W88" s="1138">
        <f t="shared" si="91"/>
        <v>7.7441705434867295E-2</v>
      </c>
      <c r="Y88" s="1132">
        <v>13</v>
      </c>
      <c r="Z88" s="44">
        <v>136</v>
      </c>
      <c r="AA88" s="1135">
        <f t="shared" si="100"/>
        <v>8.1418471918959401E-2</v>
      </c>
      <c r="AB88" s="1135">
        <f t="shared" si="92"/>
        <v>7.7441705434867295E-2</v>
      </c>
      <c r="AC88" s="1132">
        <f t="shared" si="87"/>
        <v>12.5</v>
      </c>
      <c r="AD88" s="1133">
        <f t="shared" si="101"/>
        <v>7.5</v>
      </c>
      <c r="AE88" s="186">
        <f t="shared" si="93"/>
        <v>19.023291617700689</v>
      </c>
      <c r="AF88" s="40">
        <f t="shared" si="94"/>
        <v>1.6039060627040123</v>
      </c>
      <c r="AG88" s="13">
        <f t="shared" si="95"/>
        <v>37.525696188646293</v>
      </c>
      <c r="AH88" s="1132">
        <f t="shared" si="102"/>
        <v>1</v>
      </c>
      <c r="AI88" s="1132">
        <f t="shared" si="103"/>
        <v>1</v>
      </c>
      <c r="AJ88" s="187">
        <f t="shared" si="104"/>
        <v>1.6039060627040123</v>
      </c>
      <c r="AK88" s="1136">
        <f t="shared" si="105"/>
        <v>0.20175868010247597</v>
      </c>
      <c r="AR88" s="1132">
        <v>13</v>
      </c>
      <c r="AS88" s="44">
        <v>136</v>
      </c>
      <c r="AT88" s="1135">
        <f t="shared" si="88"/>
        <v>8.1418471918959401E-2</v>
      </c>
      <c r="AU88" s="1135">
        <f t="shared" si="86"/>
        <v>7.7441705434867295E-2</v>
      </c>
      <c r="AV88" s="1132">
        <f t="shared" si="89"/>
        <v>12.5</v>
      </c>
      <c r="AW88" s="1133">
        <f t="shared" si="106"/>
        <v>7.5</v>
      </c>
      <c r="AX88" s="186">
        <f t="shared" si="96"/>
        <v>19.023291617700689</v>
      </c>
      <c r="AY88" s="40">
        <f t="shared" si="97"/>
        <v>1.6039060627040123</v>
      </c>
      <c r="AZ88" s="13">
        <f t="shared" si="98"/>
        <v>37.525696188646293</v>
      </c>
      <c r="BA88" s="1132">
        <f t="shared" si="107"/>
        <v>1</v>
      </c>
      <c r="BB88" s="1132">
        <f t="shared" si="108"/>
        <v>1</v>
      </c>
      <c r="BC88" s="187">
        <f t="shared" si="109"/>
        <v>1.6039060627040123</v>
      </c>
      <c r="BD88" s="1136">
        <f t="shared" si="99"/>
        <v>0.20268770436726119</v>
      </c>
      <c r="BG88" s="1132"/>
      <c r="BH88" s="1132"/>
      <c r="BI88" s="1132"/>
    </row>
    <row r="89" spans="1:61" x14ac:dyDescent="0.2">
      <c r="A89" s="1135">
        <v>8.8804871272699912E-2</v>
      </c>
      <c r="B89" s="1135">
        <v>5.164481260039331E-2</v>
      </c>
      <c r="C89" s="1135"/>
      <c r="D89" s="1135">
        <v>6.2842013932490129E-2</v>
      </c>
      <c r="E89" s="187">
        <v>7.4839235230896112E-2</v>
      </c>
      <c r="F89" s="187"/>
      <c r="G89" s="187">
        <v>6.6785493893316533E-2</v>
      </c>
      <c r="H89" s="187">
        <v>7.2611815059762247E-2</v>
      </c>
      <c r="I89" s="187"/>
      <c r="J89" s="187">
        <v>5.2726484441203675E-2</v>
      </c>
      <c r="K89" s="187">
        <v>8.4248073625918879E-2</v>
      </c>
      <c r="L89" s="187"/>
      <c r="M89" s="187">
        <v>6.8475907478759396E-2</v>
      </c>
      <c r="N89" s="187">
        <v>8.4725250331462915E-2</v>
      </c>
      <c r="O89" s="187"/>
      <c r="P89" s="187">
        <v>6.0618150051804917E-2</v>
      </c>
      <c r="Q89" s="187">
        <v>9.1255671924542023E-2</v>
      </c>
      <c r="R89" s="187"/>
      <c r="S89" s="187">
        <v>7.4924226003474245E-2</v>
      </c>
      <c r="T89" s="187">
        <v>9.4663265414927672E-2</v>
      </c>
      <c r="U89" s="187"/>
      <c r="V89" s="1138">
        <f t="shared" si="90"/>
        <v>6.6785493893316533E-2</v>
      </c>
      <c r="W89" s="1138">
        <f t="shared" si="91"/>
        <v>7.2611815059762247E-2</v>
      </c>
      <c r="Y89" s="1132">
        <v>14</v>
      </c>
      <c r="Z89" s="44">
        <v>136</v>
      </c>
      <c r="AA89" s="1135">
        <f t="shared" si="100"/>
        <v>6.6785493893316533E-2</v>
      </c>
      <c r="AB89" s="1135">
        <f t="shared" si="92"/>
        <v>7.2611815059762247E-2</v>
      </c>
      <c r="AC89" s="1132">
        <f t="shared" si="87"/>
        <v>13.5</v>
      </c>
      <c r="AD89" s="1133">
        <f t="shared" si="101"/>
        <v>22.5</v>
      </c>
      <c r="AE89" s="186">
        <f t="shared" si="93"/>
        <v>19.023291617700689</v>
      </c>
      <c r="AF89" s="40">
        <f t="shared" si="94"/>
        <v>1.6930885140786993</v>
      </c>
      <c r="AG89" s="13">
        <f t="shared" si="95"/>
        <v>33.74644420582672</v>
      </c>
      <c r="AH89" s="1132">
        <f t="shared" si="102"/>
        <v>1</v>
      </c>
      <c r="AI89" s="1132">
        <f t="shared" si="103"/>
        <v>1</v>
      </c>
      <c r="AJ89" s="187">
        <f t="shared" si="104"/>
        <v>1.6930885140786993</v>
      </c>
      <c r="AK89" s="1136">
        <f t="shared" si="105"/>
        <v>0.17963841142596357</v>
      </c>
      <c r="AR89" s="1132">
        <v>14</v>
      </c>
      <c r="AS89" s="44">
        <v>136</v>
      </c>
      <c r="AT89" s="1135">
        <f t="shared" si="88"/>
        <v>6.6785493893316533E-2</v>
      </c>
      <c r="AU89" s="1135">
        <f t="shared" si="86"/>
        <v>7.2611815059762247E-2</v>
      </c>
      <c r="AV89" s="1132">
        <f t="shared" si="89"/>
        <v>13.5</v>
      </c>
      <c r="AW89" s="1133">
        <f t="shared" si="106"/>
        <v>22.5</v>
      </c>
      <c r="AX89" s="186">
        <f t="shared" si="96"/>
        <v>19.023291617700689</v>
      </c>
      <c r="AY89" s="40">
        <f t="shared" si="97"/>
        <v>1.6930885140786993</v>
      </c>
      <c r="AZ89" s="13">
        <f t="shared" si="98"/>
        <v>33.74644420582672</v>
      </c>
      <c r="BA89" s="1132">
        <f t="shared" si="107"/>
        <v>1</v>
      </c>
      <c r="BB89" s="1132">
        <f t="shared" si="108"/>
        <v>1</v>
      </c>
      <c r="BC89" s="187">
        <f t="shared" si="109"/>
        <v>1.6930885140786993</v>
      </c>
      <c r="BD89" s="1136">
        <f t="shared" si="99"/>
        <v>0.1804536156176014</v>
      </c>
      <c r="BG89" s="1132"/>
      <c r="BH89" s="1132"/>
      <c r="BI89" s="1132"/>
    </row>
    <row r="90" spans="1:61" x14ac:dyDescent="0.2">
      <c r="A90" s="1135">
        <v>7.4710977923299809E-2</v>
      </c>
      <c r="B90" s="1135">
        <v>3.9087405663761329E-2</v>
      </c>
      <c r="C90" s="1135"/>
      <c r="D90" s="1135">
        <v>5.2353482978158512E-2</v>
      </c>
      <c r="E90" s="187">
        <v>6.5377384926046403E-2</v>
      </c>
      <c r="F90" s="187"/>
      <c r="G90" s="187">
        <v>5.9816004952048224E-2</v>
      </c>
      <c r="H90" s="187">
        <v>5.6323990565113238E-2</v>
      </c>
      <c r="I90" s="187"/>
      <c r="J90" s="187">
        <v>3.5315215891847149E-2</v>
      </c>
      <c r="K90" s="187">
        <v>7.3054411445913764E-2</v>
      </c>
      <c r="L90" s="187"/>
      <c r="M90" s="187">
        <v>4.2876172190712249E-2</v>
      </c>
      <c r="N90" s="187">
        <v>6.8457726704351782E-2</v>
      </c>
      <c r="O90" s="187"/>
      <c r="P90" s="187">
        <v>4.2048703751335605E-2</v>
      </c>
      <c r="Q90" s="187">
        <v>7.3279306787499859E-2</v>
      </c>
      <c r="R90" s="187"/>
      <c r="S90" s="187">
        <v>4.0135535974542148E-2</v>
      </c>
      <c r="T90" s="187">
        <v>6.8936271837919866E-2</v>
      </c>
      <c r="U90" s="187"/>
      <c r="V90" s="1138">
        <f t="shared" si="90"/>
        <v>5.9816004952048224E-2</v>
      </c>
      <c r="W90" s="1138">
        <f t="shared" si="91"/>
        <v>5.6323990565113238E-2</v>
      </c>
      <c r="Y90" s="1132">
        <v>15</v>
      </c>
      <c r="Z90" s="44">
        <v>136</v>
      </c>
      <c r="AA90" s="1135">
        <f t="shared" si="100"/>
        <v>5.9816004952048224E-2</v>
      </c>
      <c r="AB90" s="1135">
        <f t="shared" si="92"/>
        <v>5.6323990565113238E-2</v>
      </c>
      <c r="AC90" s="1132">
        <f t="shared" si="87"/>
        <v>14.5</v>
      </c>
      <c r="AD90" s="1133">
        <f t="shared" si="101"/>
        <v>37.5</v>
      </c>
      <c r="AE90" s="186">
        <f t="shared" si="93"/>
        <v>19.023291617700689</v>
      </c>
      <c r="AF90" s="40">
        <f t="shared" si="94"/>
        <v>1.8642231079762224</v>
      </c>
      <c r="AG90" s="13">
        <f t="shared" si="95"/>
        <v>26.87031623548922</v>
      </c>
      <c r="AH90" s="1132">
        <f t="shared" si="102"/>
        <v>1</v>
      </c>
      <c r="AI90" s="1132">
        <f t="shared" si="103"/>
        <v>1</v>
      </c>
      <c r="AJ90" s="187">
        <f t="shared" si="104"/>
        <v>1.8642231079762224</v>
      </c>
      <c r="AK90" s="1136">
        <f t="shared" si="105"/>
        <v>0.16328422664729339</v>
      </c>
      <c r="AR90" s="1132">
        <v>15</v>
      </c>
      <c r="AS90" s="44">
        <v>136</v>
      </c>
      <c r="AT90" s="1135">
        <f t="shared" si="88"/>
        <v>5.9816004952048224E-2</v>
      </c>
      <c r="AU90" s="1135">
        <f t="shared" si="86"/>
        <v>5.6323990565113238E-2</v>
      </c>
      <c r="AV90" s="1132">
        <f t="shared" si="89"/>
        <v>14.5</v>
      </c>
      <c r="AW90" s="1133">
        <f t="shared" si="106"/>
        <v>37.5</v>
      </c>
      <c r="AX90" s="186">
        <f t="shared" si="96"/>
        <v>19.023291617700689</v>
      </c>
      <c r="AY90" s="40">
        <f t="shared" si="97"/>
        <v>1.8642231079762224</v>
      </c>
      <c r="AZ90" s="13">
        <f t="shared" si="98"/>
        <v>26.87031623548922</v>
      </c>
      <c r="BA90" s="1132">
        <f t="shared" si="107"/>
        <v>1</v>
      </c>
      <c r="BB90" s="1132">
        <f t="shared" si="108"/>
        <v>1</v>
      </c>
      <c r="BC90" s="187">
        <f t="shared" si="109"/>
        <v>1.8642231079762224</v>
      </c>
      <c r="BD90" s="1136">
        <f t="shared" si="99"/>
        <v>0.16396342061361494</v>
      </c>
      <c r="BG90" s="1132"/>
      <c r="BH90" s="1132"/>
      <c r="BI90" s="1132"/>
    </row>
    <row r="91" spans="1:61" x14ac:dyDescent="0.2">
      <c r="A91" s="1135">
        <v>3.9203900889910721E-2</v>
      </c>
      <c r="B91" s="1135">
        <v>3.4186798471062471E-2</v>
      </c>
      <c r="C91" s="1135"/>
      <c r="D91" s="1135">
        <v>2.1101460204377788E-2</v>
      </c>
      <c r="E91" s="187">
        <v>4.5867042178411588E-2</v>
      </c>
      <c r="F91" s="187"/>
      <c r="G91" s="187">
        <v>2.8453784121350901E-2</v>
      </c>
      <c r="H91" s="187">
        <v>3.9248806535532539E-2</v>
      </c>
      <c r="I91" s="187"/>
      <c r="J91" s="187">
        <v>2.1530063259957037E-2</v>
      </c>
      <c r="K91" s="187">
        <v>4.2912322881973872E-2</v>
      </c>
      <c r="L91" s="187"/>
      <c r="M91" s="187">
        <v>1.368178312185362E-2</v>
      </c>
      <c r="N91" s="187">
        <v>4.1848527699222017E-2</v>
      </c>
      <c r="O91" s="187"/>
      <c r="P91" s="187">
        <v>1.1329949366228855E-2</v>
      </c>
      <c r="Q91" s="187">
        <v>4.5961743494312299E-2</v>
      </c>
      <c r="R91" s="187"/>
      <c r="S91" s="187">
        <v>3.4724380601475731E-3</v>
      </c>
      <c r="T91" s="187">
        <v>2.4035101876518208E-2</v>
      </c>
      <c r="U91" s="187"/>
      <c r="V91" s="1138">
        <f t="shared" si="90"/>
        <v>2.8453784121350901E-2</v>
      </c>
      <c r="W91" s="1138">
        <f t="shared" si="91"/>
        <v>3.9248806535532539E-2</v>
      </c>
      <c r="Y91" s="1132">
        <v>16</v>
      </c>
      <c r="Z91" s="44">
        <v>136</v>
      </c>
      <c r="AA91" s="1135">
        <f t="shared" si="100"/>
        <v>2.8453784121350901E-2</v>
      </c>
      <c r="AB91" s="1135">
        <f t="shared" si="92"/>
        <v>3.9248806535532539E-2</v>
      </c>
      <c r="AC91" s="1132">
        <f t="shared" si="87"/>
        <v>15.5</v>
      </c>
      <c r="AD91" s="1133">
        <f t="shared" si="101"/>
        <v>52.5</v>
      </c>
      <c r="AE91" s="186">
        <f t="shared" si="93"/>
        <v>19.023291617700689</v>
      </c>
      <c r="AF91" s="40">
        <f t="shared" si="94"/>
        <v>2.2575692168926857</v>
      </c>
      <c r="AG91" s="13">
        <f t="shared" si="95"/>
        <v>17.790266674350175</v>
      </c>
      <c r="AH91" s="1132">
        <f t="shared" si="102"/>
        <v>1</v>
      </c>
      <c r="AI91" s="1132">
        <f t="shared" si="103"/>
        <v>1</v>
      </c>
      <c r="AJ91" s="187">
        <f t="shared" si="104"/>
        <v>2.2575692168926857</v>
      </c>
      <c r="AK91" s="1136">
        <f t="shared" si="105"/>
        <v>0.1000823910742443</v>
      </c>
      <c r="AR91" s="1132">
        <v>16</v>
      </c>
      <c r="AS91" s="44">
        <v>136</v>
      </c>
      <c r="AT91" s="1135">
        <f t="shared" si="88"/>
        <v>2.8453784121350901E-2</v>
      </c>
      <c r="AU91" s="1135">
        <f t="shared" si="86"/>
        <v>3.9248806535532539E-2</v>
      </c>
      <c r="AV91" s="1132">
        <f t="shared" si="89"/>
        <v>15.5</v>
      </c>
      <c r="AW91" s="1133">
        <f t="shared" si="106"/>
        <v>52.5</v>
      </c>
      <c r="AX91" s="186">
        <f t="shared" si="96"/>
        <v>19.023291617700689</v>
      </c>
      <c r="AY91" s="40">
        <f t="shared" si="97"/>
        <v>2.2575692168926857</v>
      </c>
      <c r="AZ91" s="13">
        <f t="shared" si="98"/>
        <v>17.790266674350175</v>
      </c>
      <c r="BA91" s="1132">
        <f t="shared" si="107"/>
        <v>1</v>
      </c>
      <c r="BB91" s="1132">
        <f t="shared" si="108"/>
        <v>1</v>
      </c>
      <c r="BC91" s="187">
        <f t="shared" si="109"/>
        <v>2.2575692168926857</v>
      </c>
      <c r="BD91" s="1136">
        <f t="shared" si="99"/>
        <v>0.10047832006385492</v>
      </c>
      <c r="BG91" s="1132"/>
      <c r="BH91" s="1132"/>
      <c r="BI91" s="1132"/>
    </row>
    <row r="92" spans="1:61" x14ac:dyDescent="0.2">
      <c r="A92" s="1135">
        <v>8.4658549832212025E-3</v>
      </c>
      <c r="B92" s="1135">
        <v>2.0205594904755833E-2</v>
      </c>
      <c r="C92" s="1135"/>
      <c r="D92" s="1135">
        <v>1.4033634648852962E-3</v>
      </c>
      <c r="E92" s="187">
        <v>1.6641887592959041E-2</v>
      </c>
      <c r="F92" s="187"/>
      <c r="G92" s="187">
        <v>3.0542283132328762E-3</v>
      </c>
      <c r="H92" s="187">
        <v>1.4729262349300481E-2</v>
      </c>
      <c r="I92" s="187"/>
      <c r="J92" s="187">
        <v>9.1638255522929236E-3</v>
      </c>
      <c r="K92" s="187">
        <v>1.8977987111522772E-2</v>
      </c>
      <c r="L92" s="187"/>
      <c r="M92" s="187">
        <v>4.2458156016769185E-4</v>
      </c>
      <c r="N92" s="187">
        <v>9.1224380927458389E-3</v>
      </c>
      <c r="O92" s="187"/>
      <c r="P92" s="187">
        <v>4.6669333287623418E-4</v>
      </c>
      <c r="Q92" s="187">
        <v>5.4223222294825972E-3</v>
      </c>
      <c r="R92" s="187"/>
      <c r="S92" s="187">
        <v>1.8026520010459758E-5</v>
      </c>
      <c r="T92" s="187">
        <v>5.6483096032773909E-4</v>
      </c>
      <c r="U92" s="187"/>
      <c r="V92" s="1138">
        <f t="shared" si="90"/>
        <v>3.0542283132328762E-3</v>
      </c>
      <c r="W92" s="1138">
        <f t="shared" si="91"/>
        <v>1.4729262349300481E-2</v>
      </c>
      <c r="Y92" s="1132">
        <v>17</v>
      </c>
      <c r="Z92" s="44">
        <v>136</v>
      </c>
      <c r="AA92" s="1135">
        <f t="shared" si="100"/>
        <v>3.0542283132328762E-3</v>
      </c>
      <c r="AB92" s="1135">
        <f t="shared" si="92"/>
        <v>1.4729262349300481E-2</v>
      </c>
      <c r="AC92" s="1132">
        <f t="shared" si="87"/>
        <v>16.5</v>
      </c>
      <c r="AD92" s="1133">
        <f t="shared" si="101"/>
        <v>67.5</v>
      </c>
      <c r="AE92" s="186">
        <f t="shared" si="93"/>
        <v>19.023291617700689</v>
      </c>
      <c r="AF92" s="40">
        <f t="shared" si="94"/>
        <v>3.9041434891619176</v>
      </c>
      <c r="AG92" s="13">
        <f t="shared" si="95"/>
        <v>7.2488581116714688</v>
      </c>
      <c r="AH92" s="1132">
        <f t="shared" si="102"/>
        <v>1</v>
      </c>
      <c r="AI92" s="1132">
        <f t="shared" si="103"/>
        <v>1</v>
      </c>
      <c r="AJ92" s="187">
        <f t="shared" si="104"/>
        <v>3.9041434891619176</v>
      </c>
      <c r="AK92" s="1136">
        <f t="shared" si="105"/>
        <v>2.5242651862820494E-2</v>
      </c>
      <c r="AR92" s="1132">
        <v>17</v>
      </c>
      <c r="AS92" s="44">
        <v>136</v>
      </c>
      <c r="AT92" s="1135">
        <f t="shared" si="88"/>
        <v>3.0542283132328762E-3</v>
      </c>
      <c r="AU92" s="1135">
        <f t="shared" si="86"/>
        <v>1.4729262349300481E-2</v>
      </c>
      <c r="AV92" s="1132">
        <f t="shared" si="89"/>
        <v>16.5</v>
      </c>
      <c r="AW92" s="1133">
        <f t="shared" si="106"/>
        <v>67.5</v>
      </c>
      <c r="AX92" s="186">
        <f t="shared" si="96"/>
        <v>19.023291617700689</v>
      </c>
      <c r="AY92" s="40">
        <f t="shared" si="97"/>
        <v>3.9041434891619176</v>
      </c>
      <c r="AZ92" s="13">
        <f t="shared" si="98"/>
        <v>7.2488581116714688</v>
      </c>
      <c r="BA92" s="1132">
        <f t="shared" si="107"/>
        <v>1</v>
      </c>
      <c r="BB92" s="1132">
        <f t="shared" si="108"/>
        <v>1</v>
      </c>
      <c r="BC92" s="187">
        <f t="shared" si="109"/>
        <v>3.9041434891619176</v>
      </c>
      <c r="BD92" s="1136">
        <f t="shared" si="99"/>
        <v>2.5346650829794308E-2</v>
      </c>
      <c r="BG92" s="1132"/>
      <c r="BH92" s="1132"/>
      <c r="BI92" s="1132"/>
    </row>
    <row r="93" spans="1:61" x14ac:dyDescent="0.2">
      <c r="A93" s="1135">
        <v>4.4477238264339981E-5</v>
      </c>
      <c r="B93" s="1135">
        <v>6.6176739356942212E-4</v>
      </c>
      <c r="C93" s="1135"/>
      <c r="D93" s="1135">
        <v>1.446029083777338E-5</v>
      </c>
      <c r="E93" s="187">
        <v>1.2291247212107374E-4</v>
      </c>
      <c r="F93" s="187"/>
      <c r="G93" s="187">
        <v>6.7175109528582303E-6</v>
      </c>
      <c r="H93" s="187">
        <v>1.0971934556335111E-4</v>
      </c>
      <c r="I93" s="187"/>
      <c r="J93" s="187">
        <v>6.9960388625032782E-4</v>
      </c>
      <c r="K93" s="187">
        <v>5.3209309658475094E-3</v>
      </c>
      <c r="L93" s="187"/>
      <c r="M93" s="187">
        <v>0</v>
      </c>
      <c r="N93" s="187">
        <v>9.0981762893076824E-6</v>
      </c>
      <c r="O93" s="187"/>
      <c r="P93" s="187">
        <v>0</v>
      </c>
      <c r="Q93" s="187">
        <v>0</v>
      </c>
      <c r="R93" s="187"/>
      <c r="S93" s="187">
        <v>0</v>
      </c>
      <c r="T93" s="187">
        <v>0</v>
      </c>
      <c r="U93" s="187"/>
      <c r="V93" s="1138">
        <f t="shared" si="90"/>
        <v>6.7175109528582303E-6</v>
      </c>
      <c r="W93" s="1138">
        <f t="shared" si="91"/>
        <v>1.0971934556335111E-4</v>
      </c>
      <c r="Y93" s="1132">
        <v>18</v>
      </c>
      <c r="Z93" s="44">
        <v>136</v>
      </c>
      <c r="AA93" s="1135">
        <f t="shared" si="100"/>
        <v>6.7175109528582303E-6</v>
      </c>
      <c r="AB93" s="1135">
        <f t="shared" si="92"/>
        <v>1.0971934556335111E-4</v>
      </c>
      <c r="AC93" s="1132">
        <f t="shared" si="87"/>
        <v>17.5</v>
      </c>
      <c r="AD93" s="1133">
        <f t="shared" si="101"/>
        <v>82.5</v>
      </c>
      <c r="AE93" s="186">
        <f t="shared" si="93"/>
        <v>19.023291617700689</v>
      </c>
      <c r="AF93" s="40">
        <f t="shared" si="94"/>
        <v>-3.5671756297966675</v>
      </c>
      <c r="AG93" s="13">
        <f t="shared" si="95"/>
        <v>-4.2362421394106864</v>
      </c>
      <c r="AH93" s="1132">
        <f t="shared" si="102"/>
        <v>0</v>
      </c>
      <c r="AI93" s="1132">
        <f t="shared" si="103"/>
        <v>0</v>
      </c>
      <c r="AJ93" s="187">
        <f t="shared" si="104"/>
        <v>0</v>
      </c>
      <c r="AK93" s="1136">
        <f t="shared" si="105"/>
        <v>9.8929223580674009E-5</v>
      </c>
      <c r="AR93" s="1132">
        <v>18</v>
      </c>
      <c r="AS93" s="44">
        <v>136</v>
      </c>
      <c r="AT93" s="1135">
        <f t="shared" si="88"/>
        <v>6.7175109528582303E-6</v>
      </c>
      <c r="AU93" s="1135">
        <f t="shared" si="86"/>
        <v>1.0971934556335111E-4</v>
      </c>
      <c r="AV93" s="1132">
        <f t="shared" si="89"/>
        <v>17.5</v>
      </c>
      <c r="AW93" s="1133">
        <f t="shared" si="106"/>
        <v>82.5</v>
      </c>
      <c r="AX93" s="186">
        <f t="shared" si="96"/>
        <v>19.023291617700689</v>
      </c>
      <c r="AY93" s="40">
        <f t="shared" si="97"/>
        <v>-3.5671756297966675</v>
      </c>
      <c r="AZ93" s="13">
        <f t="shared" si="98"/>
        <v>-4.2362421394106864</v>
      </c>
      <c r="BA93" s="1132">
        <f t="shared" si="107"/>
        <v>0</v>
      </c>
      <c r="BB93" s="1132">
        <f t="shared" si="108"/>
        <v>0</v>
      </c>
      <c r="BC93" s="187">
        <f t="shared" si="109"/>
        <v>0</v>
      </c>
      <c r="BD93" s="1136">
        <f t="shared" si="99"/>
        <v>9.9610153608707029E-5</v>
      </c>
      <c r="BG93" s="1132"/>
      <c r="BH93" s="1132"/>
      <c r="BI93" s="1132"/>
    </row>
    <row r="94" spans="1:61" x14ac:dyDescent="0.2">
      <c r="A94" s="1135">
        <v>0</v>
      </c>
      <c r="B94" s="1135">
        <v>0</v>
      </c>
      <c r="C94" s="1135"/>
      <c r="D94" s="1135">
        <v>0</v>
      </c>
      <c r="E94" s="187">
        <v>0</v>
      </c>
      <c r="F94" s="187"/>
      <c r="G94" s="187">
        <v>0</v>
      </c>
      <c r="H94" s="187">
        <v>0</v>
      </c>
      <c r="I94" s="187"/>
      <c r="J94" s="187">
        <v>0</v>
      </c>
      <c r="K94" s="187">
        <v>0</v>
      </c>
      <c r="L94" s="187"/>
      <c r="M94" s="187">
        <v>0</v>
      </c>
      <c r="N94" s="187">
        <v>0</v>
      </c>
      <c r="O94" s="187"/>
      <c r="P94" s="187">
        <v>0</v>
      </c>
      <c r="Q94" s="187">
        <v>0</v>
      </c>
      <c r="R94" s="187"/>
      <c r="S94" s="187">
        <v>0</v>
      </c>
      <c r="T94" s="187">
        <v>0</v>
      </c>
      <c r="U94" s="187"/>
      <c r="V94" s="1138">
        <f t="shared" si="90"/>
        <v>0</v>
      </c>
      <c r="W94" s="1138">
        <f t="shared" si="91"/>
        <v>0</v>
      </c>
      <c r="Y94" s="1132">
        <v>19</v>
      </c>
      <c r="Z94" s="44">
        <v>136</v>
      </c>
      <c r="AA94" s="1135">
        <f t="shared" si="100"/>
        <v>0</v>
      </c>
      <c r="AB94" s="1135">
        <f t="shared" si="92"/>
        <v>0</v>
      </c>
      <c r="AC94" s="1132">
        <f t="shared" si="87"/>
        <v>18.5</v>
      </c>
      <c r="AD94" s="1133">
        <f t="shared" si="101"/>
        <v>97.5</v>
      </c>
      <c r="AE94" s="186">
        <f t="shared" si="93"/>
        <v>19.023291617700689</v>
      </c>
      <c r="AF94" s="40">
        <f t="shared" si="94"/>
        <v>-7.1495234604517219E-2</v>
      </c>
      <c r="AG94" s="13">
        <f t="shared" si="95"/>
        <v>-16.318646270702438</v>
      </c>
      <c r="AH94" s="1132">
        <f t="shared" si="102"/>
        <v>0</v>
      </c>
      <c r="AI94" s="1132">
        <f t="shared" si="103"/>
        <v>0</v>
      </c>
      <c r="AJ94" s="187">
        <f t="shared" si="104"/>
        <v>0</v>
      </c>
      <c r="AK94" s="1136">
        <f t="shared" si="105"/>
        <v>0</v>
      </c>
      <c r="AR94" s="1132">
        <v>19</v>
      </c>
      <c r="AS94" s="44">
        <v>136</v>
      </c>
      <c r="AT94" s="1135">
        <f t="shared" si="88"/>
        <v>0</v>
      </c>
      <c r="AU94" s="1135">
        <f t="shared" si="86"/>
        <v>0</v>
      </c>
      <c r="AV94" s="1132">
        <f t="shared" si="89"/>
        <v>18.5</v>
      </c>
      <c r="AW94" s="1133">
        <f t="shared" si="106"/>
        <v>97.5</v>
      </c>
      <c r="AX94" s="186">
        <f t="shared" si="96"/>
        <v>19.023291617700689</v>
      </c>
      <c r="AY94" s="40">
        <f t="shared" si="97"/>
        <v>-7.1495234604517219E-2</v>
      </c>
      <c r="AZ94" s="13">
        <f t="shared" si="98"/>
        <v>-16.318646270702438</v>
      </c>
      <c r="BA94" s="1132">
        <f t="shared" si="107"/>
        <v>0</v>
      </c>
      <c r="BB94" s="1132">
        <f t="shared" si="108"/>
        <v>0</v>
      </c>
      <c r="BC94" s="187">
        <f t="shared" si="109"/>
        <v>0</v>
      </c>
      <c r="BD94" s="1136">
        <f t="shared" si="99"/>
        <v>0</v>
      </c>
      <c r="BG94" s="1132"/>
      <c r="BH94" s="1132"/>
      <c r="BI94" s="1132"/>
    </row>
    <row r="95" spans="1:61" x14ac:dyDescent="0.2">
      <c r="A95" s="1135">
        <v>0</v>
      </c>
      <c r="B95" s="1135">
        <v>0</v>
      </c>
      <c r="C95" s="1135"/>
      <c r="D95" s="1135">
        <v>0</v>
      </c>
      <c r="E95" s="187">
        <v>0</v>
      </c>
      <c r="F95" s="187"/>
      <c r="G95" s="187">
        <v>0</v>
      </c>
      <c r="H95" s="187">
        <v>0</v>
      </c>
      <c r="I95" s="187"/>
      <c r="J95" s="187">
        <v>0</v>
      </c>
      <c r="K95" s="187">
        <v>0</v>
      </c>
      <c r="L95" s="187"/>
      <c r="M95" s="187">
        <v>0</v>
      </c>
      <c r="N95" s="187">
        <v>0</v>
      </c>
      <c r="O95" s="187"/>
      <c r="P95" s="187">
        <v>0</v>
      </c>
      <c r="Q95" s="187">
        <v>0</v>
      </c>
      <c r="R95" s="187"/>
      <c r="S95" s="187">
        <v>0</v>
      </c>
      <c r="T95" s="187">
        <v>0</v>
      </c>
      <c r="U95" s="187"/>
      <c r="V95" s="1138">
        <f t="shared" si="90"/>
        <v>0</v>
      </c>
      <c r="W95" s="1138">
        <f t="shared" si="91"/>
        <v>0</v>
      </c>
      <c r="Y95" s="1132">
        <v>20</v>
      </c>
      <c r="Z95" s="44">
        <v>136</v>
      </c>
      <c r="AA95" s="1135">
        <f t="shared" si="100"/>
        <v>0</v>
      </c>
      <c r="AB95" s="1135">
        <f t="shared" si="92"/>
        <v>0</v>
      </c>
      <c r="AC95" s="1132">
        <f t="shared" si="87"/>
        <v>19.5</v>
      </c>
      <c r="AD95" s="1133">
        <f t="shared" si="101"/>
        <v>112.5</v>
      </c>
      <c r="AE95" s="186">
        <f t="shared" si="93"/>
        <v>19.023291617700689</v>
      </c>
      <c r="AF95" s="40">
        <f t="shared" si="94"/>
        <v>0.46250326534966307</v>
      </c>
      <c r="AG95" s="13">
        <f t="shared" si="95"/>
        <v>-28.753170262701836</v>
      </c>
      <c r="AH95" s="1132">
        <f t="shared" si="102"/>
        <v>0</v>
      </c>
      <c r="AI95" s="1132">
        <f t="shared" si="103"/>
        <v>1</v>
      </c>
      <c r="AJ95" s="187">
        <f t="shared" si="104"/>
        <v>0</v>
      </c>
      <c r="AK95" s="1136">
        <f t="shared" si="105"/>
        <v>0</v>
      </c>
      <c r="AR95" s="1132">
        <v>20</v>
      </c>
      <c r="AS95" s="44">
        <v>136</v>
      </c>
      <c r="AT95" s="1135">
        <f t="shared" si="88"/>
        <v>0</v>
      </c>
      <c r="AU95" s="1135">
        <f t="shared" si="86"/>
        <v>0</v>
      </c>
      <c r="AV95" s="1132">
        <f t="shared" si="89"/>
        <v>19.5</v>
      </c>
      <c r="AW95" s="1133">
        <f t="shared" si="106"/>
        <v>112.5</v>
      </c>
      <c r="AX95" s="186">
        <f t="shared" si="96"/>
        <v>19.023291617700689</v>
      </c>
      <c r="AY95" s="40">
        <f t="shared" si="97"/>
        <v>0.46250326534966307</v>
      </c>
      <c r="AZ95" s="13">
        <f t="shared" si="98"/>
        <v>-28.753170262701836</v>
      </c>
      <c r="BA95" s="1132">
        <f t="shared" si="107"/>
        <v>0</v>
      </c>
      <c r="BB95" s="1132">
        <f t="shared" si="108"/>
        <v>1</v>
      </c>
      <c r="BC95" s="187">
        <f t="shared" si="109"/>
        <v>0</v>
      </c>
      <c r="BD95" s="1136">
        <f t="shared" si="99"/>
        <v>0</v>
      </c>
      <c r="BG95" s="1132"/>
      <c r="BH95" s="1132"/>
      <c r="BI95" s="1132"/>
    </row>
    <row r="96" spans="1:61" x14ac:dyDescent="0.2">
      <c r="A96" s="1135"/>
      <c r="B96" s="1135"/>
      <c r="C96" s="1135"/>
      <c r="D96" s="1135"/>
      <c r="E96" s="187"/>
      <c r="F96" s="187"/>
      <c r="G96" s="187"/>
      <c r="H96" s="187"/>
      <c r="I96" s="187"/>
      <c r="J96" s="187"/>
      <c r="K96" s="187"/>
      <c r="L96" s="187"/>
      <c r="M96" s="187"/>
      <c r="N96" s="187"/>
      <c r="O96" s="187"/>
      <c r="P96" s="187"/>
      <c r="Q96" s="187"/>
      <c r="R96" s="187"/>
      <c r="S96" s="187"/>
      <c r="T96" s="187"/>
      <c r="U96" s="187"/>
      <c r="V96" s="1138"/>
      <c r="W96" s="1138"/>
      <c r="Y96" s="11"/>
      <c r="Z96" s="1139"/>
      <c r="AA96" s="11"/>
      <c r="AC96" s="1132">
        <f t="shared" si="87"/>
        <v>-0.5</v>
      </c>
      <c r="AF96" s="187"/>
      <c r="AK96" s="187">
        <f>SUM(AK80:AK95)</f>
        <v>1.2893966567058694</v>
      </c>
      <c r="AR96" s="11"/>
      <c r="AS96" s="1139"/>
      <c r="AT96" s="1135"/>
      <c r="AU96" s="1135"/>
      <c r="AV96" s="1132">
        <f t="shared" si="89"/>
        <v>-0.5</v>
      </c>
      <c r="AY96" s="40"/>
      <c r="BD96" s="187">
        <f>SUM(BD80:BD95)</f>
        <v>1.2952447193245833</v>
      </c>
      <c r="BG96" s="1132"/>
      <c r="BH96" s="1132"/>
      <c r="BI96" s="1132"/>
    </row>
    <row r="97" spans="1:61" x14ac:dyDescent="0.2">
      <c r="A97" s="1135" t="s">
        <v>1261</v>
      </c>
      <c r="B97" s="1135"/>
      <c r="C97" s="1135"/>
      <c r="D97" s="1135" t="s">
        <v>1261</v>
      </c>
      <c r="E97" s="187"/>
      <c r="F97" s="187"/>
      <c r="G97" s="187" t="s">
        <v>1261</v>
      </c>
      <c r="H97" s="187"/>
      <c r="I97" s="187"/>
      <c r="J97" s="187" t="s">
        <v>1261</v>
      </c>
      <c r="K97" s="187"/>
      <c r="L97" s="187"/>
      <c r="M97" s="187" t="s">
        <v>1261</v>
      </c>
      <c r="N97" s="187"/>
      <c r="O97" s="187"/>
      <c r="P97" s="187" t="s">
        <v>1261</v>
      </c>
      <c r="Q97" s="187"/>
      <c r="R97" s="187"/>
      <c r="S97" s="187" t="s">
        <v>1261</v>
      </c>
      <c r="T97" s="187"/>
      <c r="U97" s="187"/>
      <c r="V97" s="1138"/>
      <c r="W97" s="1138"/>
      <c r="Z97" s="44"/>
      <c r="AC97" s="1132">
        <f t="shared" si="87"/>
        <v>-0.5</v>
      </c>
      <c r="AS97" s="44"/>
      <c r="AT97" s="1135"/>
      <c r="AU97" s="1135"/>
      <c r="AV97" s="1132">
        <f t="shared" si="89"/>
        <v>-0.5</v>
      </c>
      <c r="AY97" s="40"/>
      <c r="BG97" s="1132"/>
      <c r="BH97" s="1132"/>
      <c r="BI97" s="1132"/>
    </row>
    <row r="98" spans="1:61" x14ac:dyDescent="0.2">
      <c r="A98" s="1135">
        <v>0</v>
      </c>
      <c r="B98" s="1135">
        <v>0</v>
      </c>
      <c r="C98" s="1135"/>
      <c r="D98" s="1135">
        <v>0</v>
      </c>
      <c r="E98" s="187">
        <v>0</v>
      </c>
      <c r="F98" s="187"/>
      <c r="G98" s="187">
        <v>0</v>
      </c>
      <c r="H98" s="187">
        <v>0</v>
      </c>
      <c r="I98" s="187"/>
      <c r="J98" s="187">
        <v>0</v>
      </c>
      <c r="K98" s="187">
        <v>0</v>
      </c>
      <c r="L98" s="187"/>
      <c r="M98" s="187">
        <v>0</v>
      </c>
      <c r="N98" s="187">
        <v>0</v>
      </c>
      <c r="O98" s="187"/>
      <c r="P98" s="187">
        <v>0</v>
      </c>
      <c r="Q98" s="187">
        <v>0</v>
      </c>
      <c r="R98" s="187"/>
      <c r="S98" s="187">
        <v>0</v>
      </c>
      <c r="T98" s="187">
        <v>0</v>
      </c>
      <c r="U98" s="187"/>
      <c r="V98" s="1138">
        <f t="shared" ref="V98:V113" si="110">CHOOSE($B$1,A98,D98,G98,J98,M98,P98,S98)</f>
        <v>0</v>
      </c>
      <c r="W98" s="1138">
        <f t="shared" ref="W98:W113" si="111">CHOOSE($B$1,B98,E98,H98,K98,N98,Q98,T98)</f>
        <v>0</v>
      </c>
      <c r="Y98" s="1132">
        <v>5</v>
      </c>
      <c r="Z98" s="44">
        <v>166</v>
      </c>
      <c r="AA98" s="1135">
        <f>V98</f>
        <v>0</v>
      </c>
      <c r="AB98" s="1135">
        <f t="shared" ref="AB98:AB113" si="112">W98</f>
        <v>0</v>
      </c>
      <c r="AC98" s="1132">
        <f t="shared" si="87"/>
        <v>4.5</v>
      </c>
      <c r="AD98" s="1133">
        <f>15*(AC98-12)</f>
        <v>-112.5</v>
      </c>
      <c r="AE98" s="186">
        <f t="shared" ref="AE98:AE113" si="113">23.45*SIN(360*(284+Z98)/365/57.3)</f>
        <v>23.312969378572543</v>
      </c>
      <c r="AF98" s="40">
        <f t="shared" ref="AF98:AF113" si="114">((SIN(AE98/57.3)*SIN($B$2/57.3)*COS($Z$2/57.3))-SIN(AE98/57.3)*COS($B$2/57.3)*SIN($Z$2/57.3)*COS($Z$3/57.3)+COS(AE98/57.3)*COS($B$2/57.3)*COS($Z$2/57.3)*COS(AD98/57.3)+COS(AE98/57.3)*SIN($B$2/57.3)*SIN($Z$2/57.3)*COS($Z$3/57.3)*COS(AD98/57.3)+COS(AE98/57.3)*SIN($Z$2/57.3)*SIN($Z$3/57.3)*SIN(AD98/57.3))/(COS($B$2/57.3)*COS(AE98/57.3)*COS(AD98/57.3)+SIN($B$2/57.3)*SIN(AE98/57.3))</f>
        <v>0.77754794725708765</v>
      </c>
      <c r="AG98" s="13">
        <f t="shared" ref="AG98:AG113" si="115">57.3*ASIN(SIN($B$2/57.3)*SIN(AE98/57.3)+COS($B$2/57.3)*COS(AD98/57.3)*COS(AE98/57.6))</f>
        <v>-30.694963761302951</v>
      </c>
      <c r="AH98" s="1132">
        <f>IF(AG98&lt;0,0,1)</f>
        <v>0</v>
      </c>
      <c r="AI98" s="1132">
        <f>IF(AF98&lt;0,0,1)</f>
        <v>1</v>
      </c>
      <c r="AJ98" s="187">
        <f>AF98*AI98*AH98</f>
        <v>0</v>
      </c>
      <c r="AK98" s="1136">
        <f t="shared" ref="AK98:AK113" si="116">AA98*AJ98+((1+COS($Z$2/57.3))/2)*AB98+((1-COS($Z$2/57.3))/2)*(AA98+AB98)*0.2</f>
        <v>0</v>
      </c>
      <c r="AR98" s="1132">
        <v>5</v>
      </c>
      <c r="AS98" s="44">
        <v>166</v>
      </c>
      <c r="AT98" s="1135">
        <f t="shared" si="88"/>
        <v>0</v>
      </c>
      <c r="AU98" s="1135">
        <f t="shared" si="86"/>
        <v>0</v>
      </c>
      <c r="AV98" s="1132">
        <f t="shared" si="89"/>
        <v>4.5</v>
      </c>
      <c r="AW98" s="1133">
        <f>15*(AV98-12)</f>
        <v>-112.5</v>
      </c>
      <c r="AX98" s="186">
        <f t="shared" ref="AX98:AX113" si="117">23.45*SIN(360*(284+AS98)/365/57.3)</f>
        <v>23.312969378572543</v>
      </c>
      <c r="AY98" s="40">
        <f t="shared" ref="AY98:AY113" si="118">((SIN(AX98/57.3)*SIN($B$2/57.3)*COS($AS$2/57.3))-SIN(AX98/57.3)*COS($B$2/57.3)*SIN($AS$2/57.3)*COS($AS$3/57.3)+COS(AX98/57.3)*COS($B$2/57.3)*COS($AS$2/57.3)*COS(AW98/57.3)+COS(AX98/57.3)*SIN($B$2/57.3)*SIN($AS$2/57.3)*COS($AS$3/57.3)*COS(AW98/57.3)+COS(AX98/57.3)*SIN($AS$2/57.3)*SIN($AS$3/57.3)*SIN(AW98/57.3))/(COS($B$2/57.3)*COS(AX98/57.3)*COS(AW98/57.3)+SIN($B$2/57.3)*SIN(AX98/57.3))</f>
        <v>0.77754794725708765</v>
      </c>
      <c r="AZ98" s="13">
        <f t="shared" ref="AZ98:AZ113" si="119">57.3*ASIN(SIN($B$2/57.3)*SIN(AX98/57.3)+COS($B$2/57.3)*COS(AW98/57.3)*COS(AX98/57.6))</f>
        <v>-30.694963761302951</v>
      </c>
      <c r="BA98" s="1132">
        <f>IF(AZ98&lt;0,0,1)</f>
        <v>0</v>
      </c>
      <c r="BB98" s="1132">
        <f>IF(AY98&lt;0,0,1)</f>
        <v>1</v>
      </c>
      <c r="BC98" s="187">
        <f>AY98*BB98*BA98</f>
        <v>0</v>
      </c>
      <c r="BD98" s="1136">
        <f t="shared" ref="BD98:BD113" si="120">AT98*BC98+((1+COS($Z$2/57.3))/2)*AU98+((1-COS($Z$2/57.3))/2)*(AT98+AU98)*0.2</f>
        <v>0</v>
      </c>
      <c r="BG98" s="1132"/>
      <c r="BH98" s="1132"/>
      <c r="BI98" s="1132"/>
    </row>
    <row r="99" spans="1:61" x14ac:dyDescent="0.2">
      <c r="A99" s="1135">
        <v>0</v>
      </c>
      <c r="B99" s="1135">
        <v>0</v>
      </c>
      <c r="C99" s="1135"/>
      <c r="D99" s="1135">
        <v>0</v>
      </c>
      <c r="E99" s="187">
        <v>0</v>
      </c>
      <c r="F99" s="187"/>
      <c r="G99" s="187">
        <v>0</v>
      </c>
      <c r="H99" s="187">
        <v>0</v>
      </c>
      <c r="I99" s="187"/>
      <c r="J99" s="187">
        <v>0</v>
      </c>
      <c r="K99" s="187">
        <v>0</v>
      </c>
      <c r="L99" s="187"/>
      <c r="M99" s="187">
        <v>0</v>
      </c>
      <c r="N99" s="187">
        <v>0</v>
      </c>
      <c r="O99" s="187"/>
      <c r="P99" s="187">
        <v>0</v>
      </c>
      <c r="Q99" s="187">
        <v>0</v>
      </c>
      <c r="R99" s="187"/>
      <c r="S99" s="187">
        <v>0</v>
      </c>
      <c r="T99" s="187">
        <v>0</v>
      </c>
      <c r="U99" s="187"/>
      <c r="V99" s="1138">
        <f t="shared" si="110"/>
        <v>0</v>
      </c>
      <c r="W99" s="1138">
        <f t="shared" si="111"/>
        <v>0</v>
      </c>
      <c r="Y99" s="1132">
        <v>6</v>
      </c>
      <c r="Z99" s="44">
        <v>166</v>
      </c>
      <c r="AA99" s="1135">
        <f t="shared" ref="AA99:AA113" si="121">V99</f>
        <v>0</v>
      </c>
      <c r="AB99" s="1135">
        <f t="shared" si="112"/>
        <v>0</v>
      </c>
      <c r="AC99" s="1132">
        <f t="shared" si="87"/>
        <v>5.5</v>
      </c>
      <c r="AD99" s="1133">
        <f t="shared" ref="AD99:AD113" si="122">15*(AC99-12)</f>
        <v>-97.5</v>
      </c>
      <c r="AE99" s="186">
        <f t="shared" si="113"/>
        <v>23.312969378572543</v>
      </c>
      <c r="AF99" s="40">
        <f t="shared" si="114"/>
        <v>0.55389052139707484</v>
      </c>
      <c r="AG99" s="13">
        <f t="shared" si="115"/>
        <v>-18.425246081184614</v>
      </c>
      <c r="AH99" s="1132">
        <f t="shared" ref="AH99:AH113" si="123">IF(AG99&lt;0,0,1)</f>
        <v>0</v>
      </c>
      <c r="AI99" s="1132">
        <f t="shared" ref="AI99:AI113" si="124">IF(AF99&lt;0,0,1)</f>
        <v>1</v>
      </c>
      <c r="AJ99" s="187">
        <f t="shared" ref="AJ99:AJ113" si="125">AF99*AI99*AH99</f>
        <v>0</v>
      </c>
      <c r="AK99" s="1136">
        <f t="shared" si="116"/>
        <v>0</v>
      </c>
      <c r="AR99" s="1132">
        <v>6</v>
      </c>
      <c r="AS99" s="44">
        <v>166</v>
      </c>
      <c r="AT99" s="1135">
        <f t="shared" si="88"/>
        <v>0</v>
      </c>
      <c r="AU99" s="1135">
        <f t="shared" si="86"/>
        <v>0</v>
      </c>
      <c r="AV99" s="1132">
        <f t="shared" si="89"/>
        <v>5.5</v>
      </c>
      <c r="AW99" s="1133">
        <f t="shared" ref="AW99:AW113" si="126">15*(AV99-12)</f>
        <v>-97.5</v>
      </c>
      <c r="AX99" s="186">
        <f t="shared" si="117"/>
        <v>23.312969378572543</v>
      </c>
      <c r="AY99" s="40">
        <f t="shared" si="118"/>
        <v>0.55389052139707484</v>
      </c>
      <c r="AZ99" s="13">
        <f t="shared" si="119"/>
        <v>-18.425246081184614</v>
      </c>
      <c r="BA99" s="1132">
        <f t="shared" ref="BA99:BA113" si="127">IF(AZ99&lt;0,0,1)</f>
        <v>0</v>
      </c>
      <c r="BB99" s="1132">
        <f t="shared" ref="BB99:BB113" si="128">IF(AY99&lt;0,0,1)</f>
        <v>1</v>
      </c>
      <c r="BC99" s="187">
        <f t="shared" ref="BC99:BC113" si="129">AY99*BB99*BA99</f>
        <v>0</v>
      </c>
      <c r="BD99" s="1136">
        <f t="shared" si="120"/>
        <v>0</v>
      </c>
      <c r="BG99" s="1132"/>
      <c r="BH99" s="1132"/>
      <c r="BI99" s="1132"/>
    </row>
    <row r="100" spans="1:61" x14ac:dyDescent="0.2">
      <c r="A100" s="1135">
        <v>2.8739134885496907E-5</v>
      </c>
      <c r="B100" s="1135">
        <v>3.2671858606670166E-4</v>
      </c>
      <c r="C100" s="1135"/>
      <c r="D100" s="1135">
        <v>0</v>
      </c>
      <c r="E100" s="187">
        <v>0</v>
      </c>
      <c r="F100" s="187"/>
      <c r="G100" s="187">
        <v>0</v>
      </c>
      <c r="H100" s="187">
        <v>0</v>
      </c>
      <c r="I100" s="187"/>
      <c r="J100" s="187">
        <v>1.7494416407079248E-17</v>
      </c>
      <c r="K100" s="187">
        <v>3.4283265481037076E-3</v>
      </c>
      <c r="L100" s="187"/>
      <c r="M100" s="187">
        <v>0</v>
      </c>
      <c r="N100" s="187">
        <v>0</v>
      </c>
      <c r="O100" s="187"/>
      <c r="P100" s="187">
        <v>0</v>
      </c>
      <c r="Q100" s="187">
        <v>0</v>
      </c>
      <c r="R100" s="187"/>
      <c r="S100" s="187">
        <v>0</v>
      </c>
      <c r="T100" s="187">
        <v>0</v>
      </c>
      <c r="U100" s="187"/>
      <c r="V100" s="1138">
        <f t="shared" si="110"/>
        <v>0</v>
      </c>
      <c r="W100" s="1138">
        <f t="shared" si="111"/>
        <v>0</v>
      </c>
      <c r="Y100" s="1132">
        <v>7</v>
      </c>
      <c r="Z100" s="44">
        <v>166</v>
      </c>
      <c r="AA100" s="1135">
        <f t="shared" si="121"/>
        <v>0</v>
      </c>
      <c r="AB100" s="1135">
        <f t="shared" si="112"/>
        <v>0</v>
      </c>
      <c r="AC100" s="1132">
        <f t="shared" si="87"/>
        <v>6.5</v>
      </c>
      <c r="AD100" s="1133">
        <f t="shared" si="122"/>
        <v>-82.5</v>
      </c>
      <c r="AE100" s="186">
        <f t="shared" si="113"/>
        <v>23.312969378572543</v>
      </c>
      <c r="AF100" s="40">
        <f t="shared" si="114"/>
        <v>-0.53665036356950724</v>
      </c>
      <c r="AG100" s="13">
        <f t="shared" si="115"/>
        <v>-6.5929124988186167</v>
      </c>
      <c r="AH100" s="1132">
        <f t="shared" si="123"/>
        <v>0</v>
      </c>
      <c r="AI100" s="1132">
        <f t="shared" si="124"/>
        <v>0</v>
      </c>
      <c r="AJ100" s="187">
        <f t="shared" si="125"/>
        <v>0</v>
      </c>
      <c r="AK100" s="1136">
        <f t="shared" si="116"/>
        <v>0</v>
      </c>
      <c r="AR100" s="1132">
        <v>7</v>
      </c>
      <c r="AS100" s="44">
        <v>166</v>
      </c>
      <c r="AT100" s="1135">
        <f t="shared" si="88"/>
        <v>0</v>
      </c>
      <c r="AU100" s="1135">
        <f t="shared" si="86"/>
        <v>0</v>
      </c>
      <c r="AV100" s="1132">
        <f t="shared" si="89"/>
        <v>6.5</v>
      </c>
      <c r="AW100" s="1133">
        <f t="shared" si="126"/>
        <v>-82.5</v>
      </c>
      <c r="AX100" s="186">
        <f t="shared" si="117"/>
        <v>23.312969378572543</v>
      </c>
      <c r="AY100" s="40">
        <f t="shared" si="118"/>
        <v>-0.53665036356950724</v>
      </c>
      <c r="AZ100" s="13">
        <f t="shared" si="119"/>
        <v>-6.5929124988186167</v>
      </c>
      <c r="BA100" s="1132">
        <f t="shared" si="127"/>
        <v>0</v>
      </c>
      <c r="BB100" s="1132">
        <f t="shared" si="128"/>
        <v>0</v>
      </c>
      <c r="BC100" s="187">
        <f t="shared" si="129"/>
        <v>0</v>
      </c>
      <c r="BD100" s="1136">
        <f t="shared" si="120"/>
        <v>0</v>
      </c>
      <c r="BG100" s="1132"/>
      <c r="BH100" s="1132"/>
      <c r="BI100" s="1132"/>
    </row>
    <row r="101" spans="1:61" x14ac:dyDescent="0.2">
      <c r="A101" s="1135">
        <v>6.1013603395070476E-3</v>
      </c>
      <c r="B101" s="1135">
        <v>1.6672518981606974E-2</v>
      </c>
      <c r="C101" s="1135"/>
      <c r="D101" s="1135">
        <v>5.0904328333128621E-4</v>
      </c>
      <c r="E101" s="187">
        <v>6.2365422616515688E-3</v>
      </c>
      <c r="F101" s="187"/>
      <c r="G101" s="187">
        <v>5.6132094890579609E-4</v>
      </c>
      <c r="H101" s="187">
        <v>5.4437608359329944E-3</v>
      </c>
      <c r="I101" s="187"/>
      <c r="J101" s="187">
        <v>8.5232007237578226E-3</v>
      </c>
      <c r="K101" s="187">
        <v>1.7689212675285084E-2</v>
      </c>
      <c r="L101" s="187"/>
      <c r="M101" s="187">
        <v>3.9598221464137999E-4</v>
      </c>
      <c r="N101" s="187">
        <v>3.4318458602252931E-3</v>
      </c>
      <c r="O101" s="187"/>
      <c r="P101" s="187">
        <v>1.1089334064150887E-4</v>
      </c>
      <c r="Q101" s="187">
        <v>1.8934011124346515E-3</v>
      </c>
      <c r="R101" s="187"/>
      <c r="S101" s="187">
        <v>0</v>
      </c>
      <c r="T101" s="187">
        <v>0</v>
      </c>
      <c r="U101" s="187"/>
      <c r="V101" s="1138">
        <f t="shared" si="110"/>
        <v>5.6132094890579609E-4</v>
      </c>
      <c r="W101" s="1138">
        <f t="shared" si="111"/>
        <v>5.4437608359329944E-3</v>
      </c>
      <c r="Y101" s="1132">
        <v>8</v>
      </c>
      <c r="Z101" s="44">
        <v>166</v>
      </c>
      <c r="AA101" s="1135">
        <f t="shared" si="121"/>
        <v>5.6132094890579609E-4</v>
      </c>
      <c r="AB101" s="1135">
        <f t="shared" si="112"/>
        <v>5.4437608359329944E-3</v>
      </c>
      <c r="AC101" s="1132">
        <f t="shared" si="87"/>
        <v>7.5</v>
      </c>
      <c r="AD101" s="1133">
        <f t="shared" si="122"/>
        <v>-67.5</v>
      </c>
      <c r="AE101" s="186">
        <f t="shared" si="113"/>
        <v>23.312969378572543</v>
      </c>
      <c r="AF101" s="40">
        <f t="shared" si="114"/>
        <v>3.7475076640215987</v>
      </c>
      <c r="AG101" s="13">
        <f t="shared" si="115"/>
        <v>4.5642358601975221</v>
      </c>
      <c r="AH101" s="1132">
        <f t="shared" si="123"/>
        <v>1</v>
      </c>
      <c r="AI101" s="1132">
        <f t="shared" si="124"/>
        <v>1</v>
      </c>
      <c r="AJ101" s="187">
        <f t="shared" si="125"/>
        <v>3.7475076640215987</v>
      </c>
      <c r="AK101" s="1136">
        <f t="shared" si="116"/>
        <v>7.0510786861694959E-3</v>
      </c>
      <c r="AR101" s="1132">
        <v>8</v>
      </c>
      <c r="AS101" s="44">
        <v>166</v>
      </c>
      <c r="AT101" s="1135">
        <f t="shared" si="88"/>
        <v>5.6132094890579609E-4</v>
      </c>
      <c r="AU101" s="1135">
        <f t="shared" si="86"/>
        <v>5.4437608359329944E-3</v>
      </c>
      <c r="AV101" s="1132">
        <f t="shared" si="89"/>
        <v>7.5</v>
      </c>
      <c r="AW101" s="1133">
        <f t="shared" si="126"/>
        <v>-67.5</v>
      </c>
      <c r="AX101" s="186">
        <f t="shared" si="117"/>
        <v>23.312969378572543</v>
      </c>
      <c r="AY101" s="40">
        <f t="shared" si="118"/>
        <v>3.7475076640215987</v>
      </c>
      <c r="AZ101" s="13">
        <f t="shared" si="119"/>
        <v>4.5642358601975221</v>
      </c>
      <c r="BA101" s="1132">
        <f t="shared" si="127"/>
        <v>1</v>
      </c>
      <c r="BB101" s="1132">
        <f t="shared" si="128"/>
        <v>1</v>
      </c>
      <c r="BC101" s="187">
        <f t="shared" si="129"/>
        <v>3.7475076640215987</v>
      </c>
      <c r="BD101" s="1136">
        <f t="shared" si="120"/>
        <v>7.0510786861694959E-3</v>
      </c>
      <c r="BG101" s="1132"/>
      <c r="BH101" s="1132"/>
      <c r="BI101" s="1132"/>
    </row>
    <row r="102" spans="1:61" x14ac:dyDescent="0.2">
      <c r="A102" s="1135">
        <v>3.9244390532145443E-2</v>
      </c>
      <c r="B102" s="1135">
        <v>3.3181939768237051E-2</v>
      </c>
      <c r="C102" s="1135"/>
      <c r="D102" s="1135">
        <v>1.9229221948986359E-2</v>
      </c>
      <c r="E102" s="187">
        <v>4.5176039361348071E-2</v>
      </c>
      <c r="F102" s="187"/>
      <c r="G102" s="187">
        <v>1.3202950392065871E-2</v>
      </c>
      <c r="H102" s="187">
        <v>4.2863545463722869E-2</v>
      </c>
      <c r="I102" s="187"/>
      <c r="J102" s="187">
        <v>1.9748589386472417E-2</v>
      </c>
      <c r="K102" s="187">
        <v>3.7521129443134987E-2</v>
      </c>
      <c r="L102" s="187"/>
      <c r="M102" s="187">
        <v>9.0127201978272425E-3</v>
      </c>
      <c r="N102" s="187">
        <v>4.5999933934173655E-2</v>
      </c>
      <c r="O102" s="187"/>
      <c r="P102" s="187">
        <v>8.8959108642474201E-3</v>
      </c>
      <c r="Q102" s="187">
        <v>3.597329753306365E-2</v>
      </c>
      <c r="R102" s="187"/>
      <c r="S102" s="187">
        <v>1.1517212456492662E-3</v>
      </c>
      <c r="T102" s="187">
        <v>5.8562097236403371E-3</v>
      </c>
      <c r="U102" s="187"/>
      <c r="V102" s="1138">
        <f t="shared" si="110"/>
        <v>1.3202950392065871E-2</v>
      </c>
      <c r="W102" s="1138">
        <f t="shared" si="111"/>
        <v>4.2863545463722869E-2</v>
      </c>
      <c r="Y102" s="1132">
        <v>9</v>
      </c>
      <c r="Z102" s="44">
        <v>166</v>
      </c>
      <c r="AA102" s="1135">
        <f t="shared" si="121"/>
        <v>1.3202950392065871E-2</v>
      </c>
      <c r="AB102" s="1135">
        <f t="shared" si="112"/>
        <v>4.2863545463722869E-2</v>
      </c>
      <c r="AC102" s="1132">
        <f t="shared" si="87"/>
        <v>8.5</v>
      </c>
      <c r="AD102" s="1133">
        <f t="shared" si="122"/>
        <v>-52.5</v>
      </c>
      <c r="AE102" s="186">
        <f t="shared" si="113"/>
        <v>23.312969378572543</v>
      </c>
      <c r="AF102" s="40">
        <f t="shared" si="114"/>
        <v>2.0343286669636167</v>
      </c>
      <c r="AG102" s="13">
        <f t="shared" si="115"/>
        <v>14.706003478785464</v>
      </c>
      <c r="AH102" s="1132">
        <f t="shared" si="123"/>
        <v>1</v>
      </c>
      <c r="AI102" s="1132">
        <f t="shared" si="124"/>
        <v>1</v>
      </c>
      <c r="AJ102" s="187">
        <f t="shared" si="125"/>
        <v>2.0343286669636167</v>
      </c>
      <c r="AK102" s="1136">
        <f t="shared" si="116"/>
        <v>6.6020833490468098E-2</v>
      </c>
      <c r="AR102" s="1132">
        <v>9</v>
      </c>
      <c r="AS102" s="44">
        <v>166</v>
      </c>
      <c r="AT102" s="1135">
        <f t="shared" si="88"/>
        <v>1.3202950392065871E-2</v>
      </c>
      <c r="AU102" s="1135">
        <f t="shared" si="86"/>
        <v>4.2863545463722869E-2</v>
      </c>
      <c r="AV102" s="1132">
        <f t="shared" si="89"/>
        <v>8.5</v>
      </c>
      <c r="AW102" s="1133">
        <f t="shared" si="126"/>
        <v>-52.5</v>
      </c>
      <c r="AX102" s="186">
        <f t="shared" si="117"/>
        <v>23.312969378572543</v>
      </c>
      <c r="AY102" s="40">
        <f t="shared" si="118"/>
        <v>2.0343286669636167</v>
      </c>
      <c r="AZ102" s="13">
        <f t="shared" si="119"/>
        <v>14.706003478785464</v>
      </c>
      <c r="BA102" s="1132">
        <f t="shared" si="127"/>
        <v>1</v>
      </c>
      <c r="BB102" s="1132">
        <f t="shared" si="128"/>
        <v>1</v>
      </c>
      <c r="BC102" s="187">
        <f t="shared" si="129"/>
        <v>2.0343286669636167</v>
      </c>
      <c r="BD102" s="1136">
        <f t="shared" si="120"/>
        <v>6.6020833490468098E-2</v>
      </c>
      <c r="BG102" s="1132"/>
      <c r="BH102" s="1132"/>
      <c r="BI102" s="1132"/>
    </row>
    <row r="103" spans="1:61" x14ac:dyDescent="0.2">
      <c r="A103" s="1135">
        <v>7.0775413706699236E-2</v>
      </c>
      <c r="B103" s="1135">
        <v>4.3677434681768865E-2</v>
      </c>
      <c r="C103" s="1135"/>
      <c r="D103" s="1135">
        <v>3.925729608397388E-2</v>
      </c>
      <c r="E103" s="187">
        <v>7.3945395271459144E-2</v>
      </c>
      <c r="F103" s="187"/>
      <c r="G103" s="187">
        <v>4.7217040623485425E-2</v>
      </c>
      <c r="H103" s="187">
        <v>7.0811395056460003E-2</v>
      </c>
      <c r="I103" s="187"/>
      <c r="J103" s="187">
        <v>3.8568673666166731E-2</v>
      </c>
      <c r="K103" s="187">
        <v>6.4745375330333532E-2</v>
      </c>
      <c r="L103" s="187"/>
      <c r="M103" s="187">
        <v>3.4244759813346973E-2</v>
      </c>
      <c r="N103" s="187">
        <v>7.5452895436535439E-2</v>
      </c>
      <c r="O103" s="187"/>
      <c r="P103" s="187">
        <v>4.1482128234325538E-2</v>
      </c>
      <c r="Q103" s="187">
        <v>7.1200337399164482E-2</v>
      </c>
      <c r="R103" s="187"/>
      <c r="S103" s="187">
        <v>3.343938150100291E-2</v>
      </c>
      <c r="T103" s="187">
        <v>5.8563379961487749E-2</v>
      </c>
      <c r="U103" s="187"/>
      <c r="V103" s="1138">
        <f t="shared" si="110"/>
        <v>4.7217040623485425E-2</v>
      </c>
      <c r="W103" s="1138">
        <f t="shared" si="111"/>
        <v>7.0811395056460003E-2</v>
      </c>
      <c r="Y103" s="1132">
        <v>10</v>
      </c>
      <c r="Z103" s="44">
        <v>166</v>
      </c>
      <c r="AA103" s="1135">
        <f t="shared" si="121"/>
        <v>4.7217040623485425E-2</v>
      </c>
      <c r="AB103" s="1135">
        <f t="shared" si="112"/>
        <v>7.0811395056460003E-2</v>
      </c>
      <c r="AC103" s="1132">
        <f t="shared" si="87"/>
        <v>9.5</v>
      </c>
      <c r="AD103" s="1133">
        <f t="shared" si="122"/>
        <v>-37.5</v>
      </c>
      <c r="AE103" s="186">
        <f t="shared" si="113"/>
        <v>23.312969378572543</v>
      </c>
      <c r="AF103" s="40">
        <f t="shared" si="114"/>
        <v>1.7741468982445749</v>
      </c>
      <c r="AG103" s="13">
        <f t="shared" si="115"/>
        <v>23.338192311934176</v>
      </c>
      <c r="AH103" s="1132">
        <f t="shared" si="123"/>
        <v>1</v>
      </c>
      <c r="AI103" s="1132">
        <f t="shared" si="124"/>
        <v>1</v>
      </c>
      <c r="AJ103" s="187">
        <f t="shared" si="125"/>
        <v>1.7741468982445749</v>
      </c>
      <c r="AK103" s="1136">
        <f t="shared" si="116"/>
        <v>0.14906012250531192</v>
      </c>
      <c r="AR103" s="1132">
        <v>10</v>
      </c>
      <c r="AS103" s="44">
        <v>166</v>
      </c>
      <c r="AT103" s="1135">
        <f t="shared" si="88"/>
        <v>4.7217040623485425E-2</v>
      </c>
      <c r="AU103" s="1135">
        <f t="shared" si="86"/>
        <v>7.0811395056460003E-2</v>
      </c>
      <c r="AV103" s="1132">
        <f t="shared" si="89"/>
        <v>9.5</v>
      </c>
      <c r="AW103" s="1133">
        <f t="shared" si="126"/>
        <v>-37.5</v>
      </c>
      <c r="AX103" s="186">
        <f t="shared" si="117"/>
        <v>23.312969378572543</v>
      </c>
      <c r="AY103" s="40">
        <f t="shared" si="118"/>
        <v>1.7741468982445749</v>
      </c>
      <c r="AZ103" s="13">
        <f t="shared" si="119"/>
        <v>23.338192311934176</v>
      </c>
      <c r="BA103" s="1132">
        <f t="shared" si="127"/>
        <v>1</v>
      </c>
      <c r="BB103" s="1132">
        <f t="shared" si="128"/>
        <v>1</v>
      </c>
      <c r="BC103" s="187">
        <f t="shared" si="129"/>
        <v>1.7741468982445749</v>
      </c>
      <c r="BD103" s="1136">
        <f t="shared" si="120"/>
        <v>0.14906012250531192</v>
      </c>
      <c r="BG103" s="1132"/>
      <c r="BH103" s="1132"/>
      <c r="BI103" s="1132"/>
    </row>
    <row r="104" spans="1:61" x14ac:dyDescent="0.2">
      <c r="A104" s="1135">
        <v>8.5697075056458571E-2</v>
      </c>
      <c r="B104" s="1135">
        <v>5.1692628142729305E-2</v>
      </c>
      <c r="C104" s="1135"/>
      <c r="D104" s="1135">
        <v>5.9652557214330978E-2</v>
      </c>
      <c r="E104" s="187">
        <v>8.2922236405654576E-2</v>
      </c>
      <c r="F104" s="187"/>
      <c r="G104" s="187">
        <v>5.8751595133369194E-2</v>
      </c>
      <c r="H104" s="187">
        <v>9.3786519169734836E-2</v>
      </c>
      <c r="I104" s="187"/>
      <c r="J104" s="187">
        <v>5.8400590434016561E-2</v>
      </c>
      <c r="K104" s="187">
        <v>9.1981525129157471E-2</v>
      </c>
      <c r="L104" s="187"/>
      <c r="M104" s="187">
        <v>6.4545100986544909E-2</v>
      </c>
      <c r="N104" s="187">
        <v>8.8926880890140725E-2</v>
      </c>
      <c r="O104" s="187"/>
      <c r="P104" s="187">
        <v>7.9071996035015552E-2</v>
      </c>
      <c r="Q104" s="187">
        <v>8.9438071557594506E-2</v>
      </c>
      <c r="R104" s="187"/>
      <c r="S104" s="187">
        <v>8.5439441883409614E-2</v>
      </c>
      <c r="T104" s="187">
        <v>9.3150541080028959E-2</v>
      </c>
      <c r="U104" s="187"/>
      <c r="V104" s="1138">
        <f t="shared" si="110"/>
        <v>5.8751595133369194E-2</v>
      </c>
      <c r="W104" s="1138">
        <f t="shared" si="111"/>
        <v>9.3786519169734836E-2</v>
      </c>
      <c r="Y104" s="1132">
        <v>11</v>
      </c>
      <c r="Z104" s="44">
        <v>166</v>
      </c>
      <c r="AA104" s="1135">
        <f t="shared" si="121"/>
        <v>5.8751595133369194E-2</v>
      </c>
      <c r="AB104" s="1135">
        <f t="shared" si="112"/>
        <v>9.3786519169734836E-2</v>
      </c>
      <c r="AC104" s="1132">
        <f t="shared" si="87"/>
        <v>10.5</v>
      </c>
      <c r="AD104" s="1133">
        <f t="shared" si="122"/>
        <v>-22.5</v>
      </c>
      <c r="AE104" s="186">
        <f t="shared" si="113"/>
        <v>23.312969378572543</v>
      </c>
      <c r="AF104" s="40">
        <f t="shared" si="114"/>
        <v>1.6999346588547926</v>
      </c>
      <c r="AG104" s="13">
        <f t="shared" si="115"/>
        <v>29.786929570894017</v>
      </c>
      <c r="AH104" s="1132">
        <f t="shared" si="123"/>
        <v>1</v>
      </c>
      <c r="AI104" s="1132">
        <f t="shared" si="124"/>
        <v>1</v>
      </c>
      <c r="AJ104" s="187">
        <f t="shared" si="125"/>
        <v>1.6999346588547926</v>
      </c>
      <c r="AK104" s="1136">
        <f t="shared" si="116"/>
        <v>0.1862592130387774</v>
      </c>
      <c r="AR104" s="1132">
        <v>11</v>
      </c>
      <c r="AS104" s="44">
        <v>166</v>
      </c>
      <c r="AT104" s="1135">
        <f t="shared" si="88"/>
        <v>5.8751595133369194E-2</v>
      </c>
      <c r="AU104" s="1135">
        <f t="shared" si="86"/>
        <v>9.3786519169734836E-2</v>
      </c>
      <c r="AV104" s="1132">
        <f t="shared" si="89"/>
        <v>10.5</v>
      </c>
      <c r="AW104" s="1133">
        <f t="shared" si="126"/>
        <v>-22.5</v>
      </c>
      <c r="AX104" s="186">
        <f t="shared" si="117"/>
        <v>23.312969378572543</v>
      </c>
      <c r="AY104" s="40">
        <f t="shared" si="118"/>
        <v>1.6999346588547926</v>
      </c>
      <c r="AZ104" s="13">
        <f t="shared" si="119"/>
        <v>29.786929570894017</v>
      </c>
      <c r="BA104" s="1132">
        <f t="shared" si="127"/>
        <v>1</v>
      </c>
      <c r="BB104" s="1132">
        <f t="shared" si="128"/>
        <v>1</v>
      </c>
      <c r="BC104" s="187">
        <f t="shared" si="129"/>
        <v>1.6999346588547926</v>
      </c>
      <c r="BD104" s="1136">
        <f t="shared" si="120"/>
        <v>0.1862592130387774</v>
      </c>
      <c r="BG104" s="1132"/>
      <c r="BH104" s="1132"/>
      <c r="BI104" s="1132"/>
    </row>
    <row r="105" spans="1:61" x14ac:dyDescent="0.2">
      <c r="A105" s="1135">
        <v>9.6365344443164302E-2</v>
      </c>
      <c r="B105" s="1135">
        <v>5.6236436626731029E-2</v>
      </c>
      <c r="C105" s="1135"/>
      <c r="D105" s="1135">
        <v>7.8118330929426355E-2</v>
      </c>
      <c r="E105" s="187">
        <v>9.4953337239837732E-2</v>
      </c>
      <c r="F105" s="187"/>
      <c r="G105" s="187">
        <v>6.6389906319773304E-2</v>
      </c>
      <c r="H105" s="187">
        <v>0.10097196605654978</v>
      </c>
      <c r="I105" s="187"/>
      <c r="J105" s="187">
        <v>5.5650786848558356E-2</v>
      </c>
      <c r="K105" s="187">
        <v>0.10374258981501323</v>
      </c>
      <c r="L105" s="187"/>
      <c r="M105" s="187">
        <v>6.5700049112582259E-2</v>
      </c>
      <c r="N105" s="187">
        <v>0.11228983155398217</v>
      </c>
      <c r="O105" s="187"/>
      <c r="P105" s="187">
        <v>7.4048001423176441E-2</v>
      </c>
      <c r="Q105" s="187">
        <v>9.7885962500336321E-2</v>
      </c>
      <c r="R105" s="187"/>
      <c r="S105" s="187">
        <v>9.2645237827990126E-2</v>
      </c>
      <c r="T105" s="187">
        <v>0.12975408677679104</v>
      </c>
      <c r="U105" s="187"/>
      <c r="V105" s="1138">
        <f t="shared" si="110"/>
        <v>6.6389906319773304E-2</v>
      </c>
      <c r="W105" s="1138">
        <f t="shared" si="111"/>
        <v>0.10097196605654978</v>
      </c>
      <c r="Y105" s="1132">
        <v>12</v>
      </c>
      <c r="Z105" s="44">
        <v>166</v>
      </c>
      <c r="AA105" s="1135">
        <f t="shared" si="121"/>
        <v>6.6389906319773304E-2</v>
      </c>
      <c r="AB105" s="1135">
        <f t="shared" si="112"/>
        <v>0.10097196605654978</v>
      </c>
      <c r="AC105" s="1132">
        <f t="shared" si="87"/>
        <v>11.5</v>
      </c>
      <c r="AD105" s="1133">
        <f t="shared" si="122"/>
        <v>-7.5</v>
      </c>
      <c r="AE105" s="186">
        <f t="shared" si="113"/>
        <v>23.312969378572543</v>
      </c>
      <c r="AF105" s="40">
        <f t="shared" si="114"/>
        <v>1.6975104080086389</v>
      </c>
      <c r="AG105" s="13">
        <f t="shared" si="115"/>
        <v>33.288785377205251</v>
      </c>
      <c r="AH105" s="1132">
        <f t="shared" si="123"/>
        <v>1</v>
      </c>
      <c r="AI105" s="1132">
        <f t="shared" si="124"/>
        <v>1</v>
      </c>
      <c r="AJ105" s="187">
        <f t="shared" si="125"/>
        <v>1.6975104080086389</v>
      </c>
      <c r="AK105" s="1136">
        <f t="shared" si="116"/>
        <v>0.2057746862549838</v>
      </c>
      <c r="AR105" s="1132">
        <v>12</v>
      </c>
      <c r="AS105" s="44">
        <v>166</v>
      </c>
      <c r="AT105" s="1135">
        <f t="shared" si="88"/>
        <v>6.6389906319773304E-2</v>
      </c>
      <c r="AU105" s="1135">
        <f t="shared" si="86"/>
        <v>0.10097196605654978</v>
      </c>
      <c r="AV105" s="1132">
        <f t="shared" si="89"/>
        <v>11.5</v>
      </c>
      <c r="AW105" s="1133">
        <f t="shared" si="126"/>
        <v>-7.5</v>
      </c>
      <c r="AX105" s="186">
        <f t="shared" si="117"/>
        <v>23.312969378572543</v>
      </c>
      <c r="AY105" s="40">
        <f t="shared" si="118"/>
        <v>1.6975104080086389</v>
      </c>
      <c r="AZ105" s="13">
        <f t="shared" si="119"/>
        <v>33.288785377205251</v>
      </c>
      <c r="BA105" s="1132">
        <f t="shared" si="127"/>
        <v>1</v>
      </c>
      <c r="BB105" s="1132">
        <f t="shared" si="128"/>
        <v>1</v>
      </c>
      <c r="BC105" s="187">
        <f t="shared" si="129"/>
        <v>1.6975104080086389</v>
      </c>
      <c r="BD105" s="1136">
        <f t="shared" si="120"/>
        <v>0.2057746862549838</v>
      </c>
      <c r="BG105" s="1132"/>
      <c r="BH105" s="1132"/>
      <c r="BI105" s="1132"/>
    </row>
    <row r="106" spans="1:61" x14ac:dyDescent="0.2">
      <c r="A106" s="1135">
        <v>9.6365344443164302E-2</v>
      </c>
      <c r="B106" s="1135">
        <v>5.6236436626731029E-2</v>
      </c>
      <c r="C106" s="1135"/>
      <c r="D106" s="1135">
        <v>7.8118330929426355E-2</v>
      </c>
      <c r="E106" s="187">
        <v>9.4953337239837732E-2</v>
      </c>
      <c r="F106" s="187"/>
      <c r="G106" s="187">
        <v>6.6389906319773304E-2</v>
      </c>
      <c r="H106" s="187">
        <v>0.10097196605654978</v>
      </c>
      <c r="I106" s="187"/>
      <c r="J106" s="187">
        <v>5.5650786848558356E-2</v>
      </c>
      <c r="K106" s="187">
        <v>0.10374258981501323</v>
      </c>
      <c r="L106" s="187"/>
      <c r="M106" s="187">
        <v>6.5700049112582259E-2</v>
      </c>
      <c r="N106" s="187">
        <v>0.11228983155398217</v>
      </c>
      <c r="O106" s="187"/>
      <c r="P106" s="187">
        <v>7.4048001423176441E-2</v>
      </c>
      <c r="Q106" s="187">
        <v>9.7885962500336321E-2</v>
      </c>
      <c r="R106" s="187"/>
      <c r="S106" s="187">
        <v>9.2645237827990126E-2</v>
      </c>
      <c r="T106" s="187">
        <v>0.12975408677679104</v>
      </c>
      <c r="U106" s="187"/>
      <c r="V106" s="1138">
        <f t="shared" si="110"/>
        <v>6.6389906319773304E-2</v>
      </c>
      <c r="W106" s="1138">
        <f t="shared" si="111"/>
        <v>0.10097196605654978</v>
      </c>
      <c r="Y106" s="1132">
        <v>13</v>
      </c>
      <c r="Z106" s="44">
        <v>166</v>
      </c>
      <c r="AA106" s="1135">
        <f t="shared" si="121"/>
        <v>6.6389906319773304E-2</v>
      </c>
      <c r="AB106" s="1135">
        <f t="shared" si="112"/>
        <v>0.10097196605654978</v>
      </c>
      <c r="AC106" s="1132">
        <f t="shared" si="87"/>
        <v>12.5</v>
      </c>
      <c r="AD106" s="1133">
        <f t="shared" si="122"/>
        <v>7.5</v>
      </c>
      <c r="AE106" s="186">
        <f t="shared" si="113"/>
        <v>23.312969378572543</v>
      </c>
      <c r="AF106" s="40">
        <f t="shared" si="114"/>
        <v>1.7463846542895103</v>
      </c>
      <c r="AG106" s="13">
        <f t="shared" si="115"/>
        <v>33.288785377205251</v>
      </c>
      <c r="AH106" s="1132">
        <f t="shared" si="123"/>
        <v>1</v>
      </c>
      <c r="AI106" s="1132">
        <f t="shared" si="124"/>
        <v>1</v>
      </c>
      <c r="AJ106" s="187">
        <f t="shared" si="125"/>
        <v>1.7463846542895103</v>
      </c>
      <c r="AK106" s="1136">
        <f t="shared" si="116"/>
        <v>0.2090194428870204</v>
      </c>
      <c r="AR106" s="1132">
        <v>13</v>
      </c>
      <c r="AS106" s="44">
        <v>166</v>
      </c>
      <c r="AT106" s="1135">
        <f t="shared" si="88"/>
        <v>6.6389906319773304E-2</v>
      </c>
      <c r="AU106" s="1135">
        <f t="shared" si="86"/>
        <v>0.10097196605654978</v>
      </c>
      <c r="AV106" s="1132">
        <f t="shared" si="89"/>
        <v>12.5</v>
      </c>
      <c r="AW106" s="1133">
        <f t="shared" si="126"/>
        <v>7.5</v>
      </c>
      <c r="AX106" s="186">
        <f t="shared" si="117"/>
        <v>23.312969378572543</v>
      </c>
      <c r="AY106" s="40">
        <f t="shared" si="118"/>
        <v>1.7463846542895103</v>
      </c>
      <c r="AZ106" s="13">
        <f t="shared" si="119"/>
        <v>33.288785377205251</v>
      </c>
      <c r="BA106" s="1132">
        <f t="shared" si="127"/>
        <v>1</v>
      </c>
      <c r="BB106" s="1132">
        <f t="shared" si="128"/>
        <v>1</v>
      </c>
      <c r="BC106" s="187">
        <f t="shared" si="129"/>
        <v>1.7463846542895103</v>
      </c>
      <c r="BD106" s="1136">
        <f t="shared" si="120"/>
        <v>0.2090194428870204</v>
      </c>
      <c r="BG106" s="1132"/>
      <c r="BH106" s="1132"/>
      <c r="BI106" s="1132"/>
    </row>
    <row r="107" spans="1:61" x14ac:dyDescent="0.2">
      <c r="A107" s="1135">
        <v>8.5697075056458571E-2</v>
      </c>
      <c r="B107" s="1135">
        <v>5.1692628142729305E-2</v>
      </c>
      <c r="C107" s="1135"/>
      <c r="D107" s="1135">
        <v>5.9652557214330978E-2</v>
      </c>
      <c r="E107" s="187">
        <v>8.2922236405654576E-2</v>
      </c>
      <c r="F107" s="187"/>
      <c r="G107" s="187">
        <v>5.8751595133369194E-2</v>
      </c>
      <c r="H107" s="187">
        <v>9.3786519169734836E-2</v>
      </c>
      <c r="I107" s="187"/>
      <c r="J107" s="187">
        <v>5.8400590434016561E-2</v>
      </c>
      <c r="K107" s="187">
        <v>9.1981525129157471E-2</v>
      </c>
      <c r="L107" s="187"/>
      <c r="M107" s="187">
        <v>6.4545100986544909E-2</v>
      </c>
      <c r="N107" s="187">
        <v>8.8926880890140725E-2</v>
      </c>
      <c r="O107" s="187"/>
      <c r="P107" s="187">
        <v>7.9071996035015552E-2</v>
      </c>
      <c r="Q107" s="187">
        <v>8.9438071557594506E-2</v>
      </c>
      <c r="R107" s="187"/>
      <c r="S107" s="187">
        <v>8.5439441883409614E-2</v>
      </c>
      <c r="T107" s="187">
        <v>9.3150541080028959E-2</v>
      </c>
      <c r="U107" s="187"/>
      <c r="V107" s="1138">
        <f t="shared" si="110"/>
        <v>5.8751595133369194E-2</v>
      </c>
      <c r="W107" s="1138">
        <f t="shared" si="111"/>
        <v>9.3786519169734836E-2</v>
      </c>
      <c r="Y107" s="1132">
        <v>14</v>
      </c>
      <c r="Z107" s="44">
        <v>166</v>
      </c>
      <c r="AA107" s="1135">
        <f t="shared" si="121"/>
        <v>5.8751595133369194E-2</v>
      </c>
      <c r="AB107" s="1135">
        <f t="shared" si="112"/>
        <v>9.3786519169734836E-2</v>
      </c>
      <c r="AC107" s="1132">
        <f t="shared" si="87"/>
        <v>13.5</v>
      </c>
      <c r="AD107" s="1133">
        <f t="shared" si="122"/>
        <v>22.5</v>
      </c>
      <c r="AE107" s="186">
        <f t="shared" si="113"/>
        <v>23.312969378572543</v>
      </c>
      <c r="AF107" s="40">
        <f t="shared" si="114"/>
        <v>1.8582565406513001</v>
      </c>
      <c r="AG107" s="13">
        <f t="shared" si="115"/>
        <v>29.786929570894017</v>
      </c>
      <c r="AH107" s="1132">
        <f t="shared" si="123"/>
        <v>1</v>
      </c>
      <c r="AI107" s="1132">
        <f t="shared" si="124"/>
        <v>1</v>
      </c>
      <c r="AJ107" s="187">
        <f t="shared" si="125"/>
        <v>1.8582565406513001</v>
      </c>
      <c r="AK107" s="1136">
        <f t="shared" si="116"/>
        <v>0.19556087613883893</v>
      </c>
      <c r="AR107" s="1132">
        <v>14</v>
      </c>
      <c r="AS107" s="44">
        <v>166</v>
      </c>
      <c r="AT107" s="1135">
        <f t="shared" si="88"/>
        <v>5.8751595133369194E-2</v>
      </c>
      <c r="AU107" s="1135">
        <f t="shared" si="86"/>
        <v>9.3786519169734836E-2</v>
      </c>
      <c r="AV107" s="1132">
        <f t="shared" si="89"/>
        <v>13.5</v>
      </c>
      <c r="AW107" s="1133">
        <f t="shared" si="126"/>
        <v>22.5</v>
      </c>
      <c r="AX107" s="186">
        <f t="shared" si="117"/>
        <v>23.312969378572543</v>
      </c>
      <c r="AY107" s="40">
        <f t="shared" si="118"/>
        <v>1.8582565406513001</v>
      </c>
      <c r="AZ107" s="13">
        <f t="shared" si="119"/>
        <v>29.786929570894017</v>
      </c>
      <c r="BA107" s="1132">
        <f t="shared" si="127"/>
        <v>1</v>
      </c>
      <c r="BB107" s="1132">
        <f t="shared" si="128"/>
        <v>1</v>
      </c>
      <c r="BC107" s="187">
        <f t="shared" si="129"/>
        <v>1.8582565406513001</v>
      </c>
      <c r="BD107" s="1136">
        <f t="shared" si="120"/>
        <v>0.19556087613883893</v>
      </c>
      <c r="BG107" s="1132"/>
      <c r="BH107" s="1132"/>
      <c r="BI107" s="1132"/>
    </row>
    <row r="108" spans="1:61" x14ac:dyDescent="0.2">
      <c r="A108" s="1135">
        <v>7.0775413706699236E-2</v>
      </c>
      <c r="B108" s="1135">
        <v>4.3677434681768865E-2</v>
      </c>
      <c r="C108" s="1135"/>
      <c r="D108" s="1135">
        <v>3.925729608397388E-2</v>
      </c>
      <c r="E108" s="187">
        <v>7.3945395271459144E-2</v>
      </c>
      <c r="F108" s="187"/>
      <c r="G108" s="187">
        <v>4.7217040623485425E-2</v>
      </c>
      <c r="H108" s="187">
        <v>7.0811395056460003E-2</v>
      </c>
      <c r="I108" s="187"/>
      <c r="J108" s="187">
        <v>3.8568673666166731E-2</v>
      </c>
      <c r="K108" s="187">
        <v>6.4745375330333532E-2</v>
      </c>
      <c r="L108" s="187"/>
      <c r="M108" s="187">
        <v>3.4244759813346973E-2</v>
      </c>
      <c r="N108" s="187">
        <v>7.5452895436535439E-2</v>
      </c>
      <c r="O108" s="187"/>
      <c r="P108" s="187">
        <v>4.1482128234325538E-2</v>
      </c>
      <c r="Q108" s="187">
        <v>7.1200337399164482E-2</v>
      </c>
      <c r="R108" s="187"/>
      <c r="S108" s="187">
        <v>3.343938150100291E-2</v>
      </c>
      <c r="T108" s="187">
        <v>5.8563379961487749E-2</v>
      </c>
      <c r="U108" s="187"/>
      <c r="V108" s="1138">
        <f t="shared" si="110"/>
        <v>4.7217040623485425E-2</v>
      </c>
      <c r="W108" s="1138">
        <f t="shared" si="111"/>
        <v>7.0811395056460003E-2</v>
      </c>
      <c r="Y108" s="1132">
        <v>15</v>
      </c>
      <c r="Z108" s="44">
        <v>166</v>
      </c>
      <c r="AA108" s="1135">
        <f t="shared" si="121"/>
        <v>4.7217040623485425E-2</v>
      </c>
      <c r="AB108" s="1135">
        <f t="shared" si="112"/>
        <v>7.0811395056460003E-2</v>
      </c>
      <c r="AC108" s="1132">
        <f t="shared" si="87"/>
        <v>14.5</v>
      </c>
      <c r="AD108" s="1133">
        <f t="shared" si="122"/>
        <v>37.5</v>
      </c>
      <c r="AE108" s="186">
        <f t="shared" si="113"/>
        <v>23.312969378572543</v>
      </c>
      <c r="AF108" s="40">
        <f t="shared" si="114"/>
        <v>2.0900026415039945</v>
      </c>
      <c r="AG108" s="13">
        <f t="shared" si="115"/>
        <v>23.338192311934176</v>
      </c>
      <c r="AH108" s="1132">
        <f t="shared" si="123"/>
        <v>1</v>
      </c>
      <c r="AI108" s="1132">
        <f t="shared" si="124"/>
        <v>1</v>
      </c>
      <c r="AJ108" s="187">
        <f t="shared" si="125"/>
        <v>2.0900026415039945</v>
      </c>
      <c r="AK108" s="1136">
        <f t="shared" si="116"/>
        <v>0.16397389596595313</v>
      </c>
      <c r="AR108" s="1132">
        <v>15</v>
      </c>
      <c r="AS108" s="44">
        <v>166</v>
      </c>
      <c r="AT108" s="1135">
        <f t="shared" si="88"/>
        <v>4.7217040623485425E-2</v>
      </c>
      <c r="AU108" s="1135">
        <f t="shared" si="86"/>
        <v>7.0811395056460003E-2</v>
      </c>
      <c r="AV108" s="1132">
        <f t="shared" si="89"/>
        <v>14.5</v>
      </c>
      <c r="AW108" s="1133">
        <f t="shared" si="126"/>
        <v>37.5</v>
      </c>
      <c r="AX108" s="186">
        <f t="shared" si="117"/>
        <v>23.312969378572543</v>
      </c>
      <c r="AY108" s="40">
        <f t="shared" si="118"/>
        <v>2.0900026415039945</v>
      </c>
      <c r="AZ108" s="13">
        <f t="shared" si="119"/>
        <v>23.338192311934176</v>
      </c>
      <c r="BA108" s="1132">
        <f t="shared" si="127"/>
        <v>1</v>
      </c>
      <c r="BB108" s="1132">
        <f t="shared" si="128"/>
        <v>1</v>
      </c>
      <c r="BC108" s="187">
        <f t="shared" si="129"/>
        <v>2.0900026415039945</v>
      </c>
      <c r="BD108" s="1136">
        <f t="shared" si="120"/>
        <v>0.16397389596595313</v>
      </c>
      <c r="BG108" s="1132"/>
      <c r="BH108" s="1132"/>
      <c r="BI108" s="1132"/>
    </row>
    <row r="109" spans="1:61" x14ac:dyDescent="0.2">
      <c r="A109" s="1135">
        <v>3.9244390532145443E-2</v>
      </c>
      <c r="B109" s="1135">
        <v>3.3181939768237051E-2</v>
      </c>
      <c r="C109" s="1135"/>
      <c r="D109" s="1135">
        <v>1.9229221948986359E-2</v>
      </c>
      <c r="E109" s="187">
        <v>4.5176039361348071E-2</v>
      </c>
      <c r="F109" s="187"/>
      <c r="G109" s="187">
        <v>1.3202950392065871E-2</v>
      </c>
      <c r="H109" s="187">
        <v>4.2863545463722869E-2</v>
      </c>
      <c r="I109" s="187"/>
      <c r="J109" s="187">
        <v>1.9748589386472417E-2</v>
      </c>
      <c r="K109" s="187">
        <v>3.7521129443134987E-2</v>
      </c>
      <c r="L109" s="187"/>
      <c r="M109" s="187">
        <v>9.0127201978272425E-3</v>
      </c>
      <c r="N109" s="187">
        <v>4.5999933934173655E-2</v>
      </c>
      <c r="O109" s="187"/>
      <c r="P109" s="187">
        <v>8.8959108642474201E-3</v>
      </c>
      <c r="Q109" s="187">
        <v>3.597329753306365E-2</v>
      </c>
      <c r="R109" s="187"/>
      <c r="S109" s="187">
        <v>1.1517212456492662E-3</v>
      </c>
      <c r="T109" s="187">
        <v>5.8562097236403371E-3</v>
      </c>
      <c r="U109" s="187"/>
      <c r="V109" s="1138">
        <f t="shared" si="110"/>
        <v>1.3202950392065871E-2</v>
      </c>
      <c r="W109" s="1138">
        <f t="shared" si="111"/>
        <v>4.2863545463722869E-2</v>
      </c>
      <c r="Y109" s="1132">
        <v>16</v>
      </c>
      <c r="Z109" s="44">
        <v>166</v>
      </c>
      <c r="AA109" s="1135">
        <f t="shared" si="121"/>
        <v>1.3202950392065871E-2</v>
      </c>
      <c r="AB109" s="1135">
        <f t="shared" si="112"/>
        <v>4.2863545463722869E-2</v>
      </c>
      <c r="AC109" s="1132">
        <f t="shared" si="87"/>
        <v>15.5</v>
      </c>
      <c r="AD109" s="1133">
        <f t="shared" si="122"/>
        <v>52.5</v>
      </c>
      <c r="AE109" s="186">
        <f t="shared" si="113"/>
        <v>23.312969378572543</v>
      </c>
      <c r="AF109" s="40">
        <f t="shared" si="114"/>
        <v>2.6768830006445943</v>
      </c>
      <c r="AG109" s="13">
        <f t="shared" si="115"/>
        <v>14.706003478785464</v>
      </c>
      <c r="AH109" s="1132">
        <f t="shared" si="123"/>
        <v>1</v>
      </c>
      <c r="AI109" s="1132">
        <f t="shared" si="124"/>
        <v>1</v>
      </c>
      <c r="AJ109" s="187">
        <f t="shared" si="125"/>
        <v>2.6768830006445943</v>
      </c>
      <c r="AK109" s="1136">
        <f t="shared" si="116"/>
        <v>7.450444648226498E-2</v>
      </c>
      <c r="AR109" s="1132">
        <v>16</v>
      </c>
      <c r="AS109" s="44">
        <v>166</v>
      </c>
      <c r="AT109" s="1135">
        <f t="shared" si="88"/>
        <v>1.3202950392065871E-2</v>
      </c>
      <c r="AU109" s="1135">
        <f t="shared" si="86"/>
        <v>4.2863545463722869E-2</v>
      </c>
      <c r="AV109" s="1132">
        <f t="shared" si="89"/>
        <v>15.5</v>
      </c>
      <c r="AW109" s="1133">
        <f t="shared" si="126"/>
        <v>52.5</v>
      </c>
      <c r="AX109" s="186">
        <f t="shared" si="117"/>
        <v>23.312969378572543</v>
      </c>
      <c r="AY109" s="40">
        <f t="shared" si="118"/>
        <v>2.6768830006445943</v>
      </c>
      <c r="AZ109" s="13">
        <f t="shared" si="119"/>
        <v>14.706003478785464</v>
      </c>
      <c r="BA109" s="1132">
        <f t="shared" si="127"/>
        <v>1</v>
      </c>
      <c r="BB109" s="1132">
        <f t="shared" si="128"/>
        <v>1</v>
      </c>
      <c r="BC109" s="187">
        <f t="shared" si="129"/>
        <v>2.6768830006445943</v>
      </c>
      <c r="BD109" s="1136">
        <f t="shared" si="120"/>
        <v>7.450444648226498E-2</v>
      </c>
      <c r="BG109" s="1132"/>
      <c r="BH109" s="1132"/>
      <c r="BI109" s="1132"/>
    </row>
    <row r="110" spans="1:61" x14ac:dyDescent="0.2">
      <c r="A110" s="1135">
        <v>6.1013603395070476E-3</v>
      </c>
      <c r="B110" s="1135">
        <v>1.6672518981606974E-2</v>
      </c>
      <c r="C110" s="1135"/>
      <c r="D110" s="1135">
        <v>5.0904328333128621E-4</v>
      </c>
      <c r="E110" s="187">
        <v>6.2365422616515688E-3</v>
      </c>
      <c r="F110" s="187"/>
      <c r="G110" s="187">
        <v>5.6132094890579609E-4</v>
      </c>
      <c r="H110" s="187">
        <v>5.4437608359329944E-3</v>
      </c>
      <c r="I110" s="187"/>
      <c r="J110" s="187">
        <v>8.5232007237578226E-3</v>
      </c>
      <c r="K110" s="187">
        <v>1.7689212675285084E-2</v>
      </c>
      <c r="L110" s="187"/>
      <c r="M110" s="187">
        <v>3.9598221464137999E-4</v>
      </c>
      <c r="N110" s="187">
        <v>3.4318458602252931E-3</v>
      </c>
      <c r="O110" s="187"/>
      <c r="P110" s="187">
        <v>1.1089334064150887E-4</v>
      </c>
      <c r="Q110" s="187">
        <v>1.8934011124346515E-3</v>
      </c>
      <c r="R110" s="187"/>
      <c r="S110" s="187">
        <v>0</v>
      </c>
      <c r="T110" s="187">
        <v>0</v>
      </c>
      <c r="U110" s="187"/>
      <c r="V110" s="1138">
        <f t="shared" si="110"/>
        <v>5.6132094890579609E-4</v>
      </c>
      <c r="W110" s="1138">
        <f t="shared" si="111"/>
        <v>5.4437608359329944E-3</v>
      </c>
      <c r="Y110" s="1132">
        <v>17</v>
      </c>
      <c r="Z110" s="44">
        <v>166</v>
      </c>
      <c r="AA110" s="1135">
        <f t="shared" si="121"/>
        <v>5.6132094890579609E-4</v>
      </c>
      <c r="AB110" s="1135">
        <f t="shared" si="112"/>
        <v>5.4437608359329944E-3</v>
      </c>
      <c r="AC110" s="1132">
        <f t="shared" si="87"/>
        <v>16.5</v>
      </c>
      <c r="AD110" s="1133">
        <f t="shared" si="122"/>
        <v>67.5</v>
      </c>
      <c r="AE110" s="186">
        <f t="shared" si="113"/>
        <v>23.312969378572543</v>
      </c>
      <c r="AF110" s="40">
        <f t="shared" si="114"/>
        <v>6.1386744235832422</v>
      </c>
      <c r="AG110" s="13">
        <f t="shared" si="115"/>
        <v>4.5642358601975221</v>
      </c>
      <c r="AH110" s="1132">
        <f t="shared" si="123"/>
        <v>1</v>
      </c>
      <c r="AI110" s="1132">
        <f t="shared" si="124"/>
        <v>1</v>
      </c>
      <c r="AJ110" s="187">
        <f t="shared" si="125"/>
        <v>6.1386744235832422</v>
      </c>
      <c r="AK110" s="1136">
        <f t="shared" si="116"/>
        <v>8.3932906806386352E-3</v>
      </c>
      <c r="AR110" s="1132">
        <v>17</v>
      </c>
      <c r="AS110" s="44">
        <v>166</v>
      </c>
      <c r="AT110" s="1135">
        <f t="shared" si="88"/>
        <v>5.6132094890579609E-4</v>
      </c>
      <c r="AU110" s="1135">
        <f t="shared" si="86"/>
        <v>5.4437608359329944E-3</v>
      </c>
      <c r="AV110" s="1132">
        <f t="shared" si="89"/>
        <v>16.5</v>
      </c>
      <c r="AW110" s="1133">
        <f t="shared" si="126"/>
        <v>67.5</v>
      </c>
      <c r="AX110" s="186">
        <f t="shared" si="117"/>
        <v>23.312969378572543</v>
      </c>
      <c r="AY110" s="40">
        <f t="shared" si="118"/>
        <v>6.1386744235832422</v>
      </c>
      <c r="AZ110" s="13">
        <f t="shared" si="119"/>
        <v>4.5642358601975221</v>
      </c>
      <c r="BA110" s="1132">
        <f t="shared" si="127"/>
        <v>1</v>
      </c>
      <c r="BB110" s="1132">
        <f t="shared" si="128"/>
        <v>1</v>
      </c>
      <c r="BC110" s="187">
        <f t="shared" si="129"/>
        <v>6.1386744235832422</v>
      </c>
      <c r="BD110" s="1136">
        <f t="shared" si="120"/>
        <v>8.3932906806386352E-3</v>
      </c>
      <c r="BG110" s="1132"/>
      <c r="BH110" s="1132"/>
      <c r="BI110" s="1132"/>
    </row>
    <row r="111" spans="1:61" x14ac:dyDescent="0.2">
      <c r="A111" s="1135">
        <v>2.8739134885496907E-5</v>
      </c>
      <c r="B111" s="1135">
        <v>3.2671858606670166E-4</v>
      </c>
      <c r="C111" s="1135"/>
      <c r="D111" s="1135">
        <v>0</v>
      </c>
      <c r="E111" s="187">
        <v>0</v>
      </c>
      <c r="F111" s="187"/>
      <c r="G111" s="187">
        <v>0</v>
      </c>
      <c r="H111" s="187">
        <v>0</v>
      </c>
      <c r="I111" s="187"/>
      <c r="J111" s="187">
        <v>1.7494416407079248E-17</v>
      </c>
      <c r="K111" s="187">
        <v>3.4283265481037076E-3</v>
      </c>
      <c r="L111" s="187"/>
      <c r="M111" s="187">
        <v>0</v>
      </c>
      <c r="N111" s="187">
        <v>0</v>
      </c>
      <c r="O111" s="187"/>
      <c r="P111" s="187">
        <v>0</v>
      </c>
      <c r="Q111" s="187">
        <v>0</v>
      </c>
      <c r="R111" s="187"/>
      <c r="S111" s="187">
        <v>0</v>
      </c>
      <c r="T111" s="187">
        <v>0</v>
      </c>
      <c r="U111" s="187"/>
      <c r="V111" s="1138">
        <f t="shared" si="110"/>
        <v>0</v>
      </c>
      <c r="W111" s="1138">
        <f t="shared" si="111"/>
        <v>0</v>
      </c>
      <c r="Y111" s="1132">
        <v>18</v>
      </c>
      <c r="Z111" s="44">
        <v>166</v>
      </c>
      <c r="AA111" s="1135">
        <f t="shared" si="121"/>
        <v>0</v>
      </c>
      <c r="AB111" s="1135">
        <f t="shared" si="112"/>
        <v>0</v>
      </c>
      <c r="AC111" s="1132">
        <f t="shared" si="87"/>
        <v>17.5</v>
      </c>
      <c r="AD111" s="1133">
        <f t="shared" si="122"/>
        <v>82.5</v>
      </c>
      <c r="AE111" s="186">
        <f t="shared" si="113"/>
        <v>23.312969378572543</v>
      </c>
      <c r="AF111" s="40">
        <f t="shared" si="114"/>
        <v>-2.3077705441824854</v>
      </c>
      <c r="AG111" s="13">
        <f t="shared" si="115"/>
        <v>-6.5929124988186167</v>
      </c>
      <c r="AH111" s="1132">
        <f t="shared" si="123"/>
        <v>0</v>
      </c>
      <c r="AI111" s="1132">
        <f t="shared" si="124"/>
        <v>0</v>
      </c>
      <c r="AJ111" s="187">
        <f t="shared" si="125"/>
        <v>0</v>
      </c>
      <c r="AK111" s="1136">
        <f t="shared" si="116"/>
        <v>0</v>
      </c>
      <c r="AR111" s="1132">
        <v>18</v>
      </c>
      <c r="AS111" s="44">
        <v>166</v>
      </c>
      <c r="AT111" s="1135">
        <f t="shared" si="88"/>
        <v>0</v>
      </c>
      <c r="AU111" s="1135">
        <f t="shared" si="86"/>
        <v>0</v>
      </c>
      <c r="AV111" s="1132">
        <f t="shared" si="89"/>
        <v>17.5</v>
      </c>
      <c r="AW111" s="1133">
        <f t="shared" si="126"/>
        <v>82.5</v>
      </c>
      <c r="AX111" s="186">
        <f t="shared" si="117"/>
        <v>23.312969378572543</v>
      </c>
      <c r="AY111" s="40">
        <f t="shared" si="118"/>
        <v>-2.3077705441824854</v>
      </c>
      <c r="AZ111" s="13">
        <f t="shared" si="119"/>
        <v>-6.5929124988186167</v>
      </c>
      <c r="BA111" s="1132">
        <f t="shared" si="127"/>
        <v>0</v>
      </c>
      <c r="BB111" s="1132">
        <f t="shared" si="128"/>
        <v>0</v>
      </c>
      <c r="BC111" s="187">
        <f t="shared" si="129"/>
        <v>0</v>
      </c>
      <c r="BD111" s="1136">
        <f t="shared" si="120"/>
        <v>0</v>
      </c>
      <c r="BG111" s="1132"/>
      <c r="BH111" s="1132"/>
      <c r="BI111" s="1132"/>
    </row>
    <row r="112" spans="1:61" x14ac:dyDescent="0.2">
      <c r="A112" s="1135">
        <v>0</v>
      </c>
      <c r="B112" s="1135">
        <v>0</v>
      </c>
      <c r="C112" s="1135"/>
      <c r="D112" s="1135">
        <v>0</v>
      </c>
      <c r="E112" s="187">
        <v>0</v>
      </c>
      <c r="F112" s="187"/>
      <c r="G112" s="187">
        <v>0</v>
      </c>
      <c r="H112" s="187">
        <v>0</v>
      </c>
      <c r="I112" s="187"/>
      <c r="J112" s="187">
        <v>0</v>
      </c>
      <c r="K112" s="187">
        <v>0</v>
      </c>
      <c r="L112" s="187"/>
      <c r="M112" s="187">
        <v>0</v>
      </c>
      <c r="N112" s="187">
        <v>0</v>
      </c>
      <c r="O112" s="187"/>
      <c r="P112" s="187">
        <v>0</v>
      </c>
      <c r="Q112" s="187">
        <v>0</v>
      </c>
      <c r="R112" s="187"/>
      <c r="S112" s="187">
        <v>0</v>
      </c>
      <c r="T112" s="187">
        <v>0</v>
      </c>
      <c r="U112" s="187"/>
      <c r="V112" s="1138">
        <f t="shared" si="110"/>
        <v>0</v>
      </c>
      <c r="W112" s="1138">
        <f t="shared" si="111"/>
        <v>0</v>
      </c>
      <c r="Y112" s="1132">
        <v>19</v>
      </c>
      <c r="Z112" s="44">
        <v>166</v>
      </c>
      <c r="AA112" s="1135">
        <f t="shared" si="121"/>
        <v>0</v>
      </c>
      <c r="AB112" s="1135">
        <f t="shared" si="112"/>
        <v>0</v>
      </c>
      <c r="AC112" s="1132">
        <f t="shared" si="87"/>
        <v>18.5</v>
      </c>
      <c r="AD112" s="1133">
        <f t="shared" si="122"/>
        <v>97.5</v>
      </c>
      <c r="AE112" s="186">
        <f t="shared" si="113"/>
        <v>23.312969378572543</v>
      </c>
      <c r="AF112" s="40">
        <f t="shared" si="114"/>
        <v>-9.0203309158654293E-2</v>
      </c>
      <c r="AG112" s="13">
        <f t="shared" si="115"/>
        <v>-18.425246081184614</v>
      </c>
      <c r="AH112" s="1132">
        <f t="shared" si="123"/>
        <v>0</v>
      </c>
      <c r="AI112" s="1132">
        <f t="shared" si="124"/>
        <v>0</v>
      </c>
      <c r="AJ112" s="187">
        <f t="shared" si="125"/>
        <v>0</v>
      </c>
      <c r="AK112" s="1136">
        <f t="shared" si="116"/>
        <v>0</v>
      </c>
      <c r="AR112" s="1132">
        <v>19</v>
      </c>
      <c r="AS112" s="44">
        <v>166</v>
      </c>
      <c r="AT112" s="1135">
        <f t="shared" si="88"/>
        <v>0</v>
      </c>
      <c r="AU112" s="1135">
        <f t="shared" si="86"/>
        <v>0</v>
      </c>
      <c r="AV112" s="1132">
        <f t="shared" si="89"/>
        <v>18.5</v>
      </c>
      <c r="AW112" s="1133">
        <f t="shared" si="126"/>
        <v>97.5</v>
      </c>
      <c r="AX112" s="186">
        <f t="shared" si="117"/>
        <v>23.312969378572543</v>
      </c>
      <c r="AY112" s="40">
        <f t="shared" si="118"/>
        <v>-9.0203309158654293E-2</v>
      </c>
      <c r="AZ112" s="13">
        <f t="shared" si="119"/>
        <v>-18.425246081184614</v>
      </c>
      <c r="BA112" s="1132">
        <f t="shared" si="127"/>
        <v>0</v>
      </c>
      <c r="BB112" s="1132">
        <f t="shared" si="128"/>
        <v>0</v>
      </c>
      <c r="BC112" s="187">
        <f t="shared" si="129"/>
        <v>0</v>
      </c>
      <c r="BD112" s="1136">
        <f t="shared" si="120"/>
        <v>0</v>
      </c>
      <c r="BG112" s="1132"/>
      <c r="BH112" s="1132"/>
      <c r="BI112" s="1132"/>
    </row>
    <row r="113" spans="1:61" x14ac:dyDescent="0.2">
      <c r="A113" s="1135">
        <v>0</v>
      </c>
      <c r="B113" s="1135">
        <v>0</v>
      </c>
      <c r="C113" s="1135"/>
      <c r="D113" s="1135">
        <v>0</v>
      </c>
      <c r="E113" s="187">
        <v>0</v>
      </c>
      <c r="F113" s="187"/>
      <c r="G113" s="187">
        <v>0</v>
      </c>
      <c r="H113" s="187">
        <v>0</v>
      </c>
      <c r="I113" s="187"/>
      <c r="J113" s="187">
        <v>0</v>
      </c>
      <c r="K113" s="187">
        <v>0</v>
      </c>
      <c r="L113" s="187"/>
      <c r="M113" s="187">
        <v>0</v>
      </c>
      <c r="N113" s="187">
        <v>0</v>
      </c>
      <c r="O113" s="187"/>
      <c r="P113" s="187">
        <v>0</v>
      </c>
      <c r="Q113" s="187">
        <v>0</v>
      </c>
      <c r="R113" s="187"/>
      <c r="S113" s="187">
        <v>0</v>
      </c>
      <c r="T113" s="187">
        <v>0</v>
      </c>
      <c r="U113" s="187"/>
      <c r="V113" s="1138">
        <f t="shared" si="110"/>
        <v>0</v>
      </c>
      <c r="W113" s="1138">
        <f t="shared" si="111"/>
        <v>0</v>
      </c>
      <c r="Y113" s="1132">
        <v>20</v>
      </c>
      <c r="Z113" s="44">
        <v>166</v>
      </c>
      <c r="AA113" s="1135">
        <f t="shared" si="121"/>
        <v>0</v>
      </c>
      <c r="AB113" s="1135">
        <f t="shared" si="112"/>
        <v>0</v>
      </c>
      <c r="AC113" s="1132">
        <f t="shared" si="87"/>
        <v>19.5</v>
      </c>
      <c r="AD113" s="1133">
        <f t="shared" si="122"/>
        <v>112.5</v>
      </c>
      <c r="AE113" s="186">
        <f t="shared" si="113"/>
        <v>23.312969378572543</v>
      </c>
      <c r="AF113" s="40">
        <f t="shared" si="114"/>
        <v>0.40581866074865358</v>
      </c>
      <c r="AG113" s="13">
        <f t="shared" si="115"/>
        <v>-30.694963761302951</v>
      </c>
      <c r="AH113" s="1132">
        <f t="shared" si="123"/>
        <v>0</v>
      </c>
      <c r="AI113" s="1132">
        <f t="shared" si="124"/>
        <v>1</v>
      </c>
      <c r="AJ113" s="187">
        <f t="shared" si="125"/>
        <v>0</v>
      </c>
      <c r="AK113" s="1136">
        <f t="shared" si="116"/>
        <v>0</v>
      </c>
      <c r="AR113" s="1132">
        <v>20</v>
      </c>
      <c r="AS113" s="44">
        <v>166</v>
      </c>
      <c r="AT113" s="1135">
        <f t="shared" si="88"/>
        <v>0</v>
      </c>
      <c r="AU113" s="1135">
        <f t="shared" si="86"/>
        <v>0</v>
      </c>
      <c r="AV113" s="1132">
        <f t="shared" si="89"/>
        <v>19.5</v>
      </c>
      <c r="AW113" s="1133">
        <f t="shared" si="126"/>
        <v>112.5</v>
      </c>
      <c r="AX113" s="186">
        <f t="shared" si="117"/>
        <v>23.312969378572543</v>
      </c>
      <c r="AY113" s="40">
        <f t="shared" si="118"/>
        <v>0.40581866074865358</v>
      </c>
      <c r="AZ113" s="13">
        <f t="shared" si="119"/>
        <v>-30.694963761302951</v>
      </c>
      <c r="BA113" s="1132">
        <f t="shared" si="127"/>
        <v>0</v>
      </c>
      <c r="BB113" s="1132">
        <f t="shared" si="128"/>
        <v>1</v>
      </c>
      <c r="BC113" s="187">
        <f t="shared" si="129"/>
        <v>0</v>
      </c>
      <c r="BD113" s="1136">
        <f t="shared" si="120"/>
        <v>0</v>
      </c>
      <c r="BG113" s="1132"/>
      <c r="BH113" s="1132"/>
      <c r="BI113" s="1132"/>
    </row>
    <row r="114" spans="1:61" x14ac:dyDescent="0.2">
      <c r="A114" s="1135"/>
      <c r="B114" s="1135"/>
      <c r="C114" s="1135"/>
      <c r="D114" s="1135"/>
      <c r="E114" s="187"/>
      <c r="F114" s="187"/>
      <c r="G114" s="187"/>
      <c r="H114" s="187"/>
      <c r="I114" s="187"/>
      <c r="J114" s="187"/>
      <c r="K114" s="187"/>
      <c r="L114" s="187"/>
      <c r="M114" s="187"/>
      <c r="N114" s="187"/>
      <c r="O114" s="187"/>
      <c r="P114" s="187"/>
      <c r="Q114" s="187"/>
      <c r="R114" s="187"/>
      <c r="S114" s="187"/>
      <c r="T114" s="187"/>
      <c r="U114" s="187"/>
      <c r="V114" s="1138"/>
      <c r="W114" s="1138"/>
      <c r="Y114" s="11"/>
      <c r="Z114" s="1139"/>
      <c r="AA114" s="11"/>
      <c r="AC114" s="1132">
        <f t="shared" si="87"/>
        <v>-0.5</v>
      </c>
      <c r="AF114" s="187"/>
      <c r="AK114" s="187">
        <f>SUM(AK98:AK113)</f>
        <v>1.2656178861304268</v>
      </c>
      <c r="AR114" s="11"/>
      <c r="AS114" s="1139"/>
      <c r="AT114" s="1135"/>
      <c r="AU114" s="1135"/>
      <c r="AV114" s="1132">
        <f t="shared" si="89"/>
        <v>-0.5</v>
      </c>
      <c r="AY114" s="40"/>
      <c r="BD114" s="187">
        <f>SUM(BD98:BD113)</f>
        <v>1.2656178861304268</v>
      </c>
      <c r="BG114" s="1132"/>
      <c r="BH114" s="1132"/>
      <c r="BI114" s="1132"/>
    </row>
    <row r="115" spans="1:61" x14ac:dyDescent="0.2">
      <c r="A115" s="1135" t="s">
        <v>1262</v>
      </c>
      <c r="B115" s="1135"/>
      <c r="C115" s="1135"/>
      <c r="D115" s="1135" t="s">
        <v>1262</v>
      </c>
      <c r="E115" s="187"/>
      <c r="F115" s="187"/>
      <c r="G115" s="187" t="s">
        <v>1262</v>
      </c>
      <c r="H115" s="187"/>
      <c r="I115" s="187"/>
      <c r="J115" s="187" t="s">
        <v>1262</v>
      </c>
      <c r="K115" s="187"/>
      <c r="L115" s="187"/>
      <c r="M115" s="187" t="s">
        <v>1262</v>
      </c>
      <c r="N115" s="187"/>
      <c r="O115" s="187"/>
      <c r="P115" s="187" t="s">
        <v>1262</v>
      </c>
      <c r="Q115" s="187"/>
      <c r="R115" s="187"/>
      <c r="S115" s="187" t="s">
        <v>1262</v>
      </c>
      <c r="T115" s="187"/>
      <c r="U115" s="187"/>
      <c r="V115" s="1138"/>
      <c r="W115" s="1138"/>
      <c r="Y115" s="11"/>
      <c r="Z115" s="1139"/>
      <c r="AA115" s="11"/>
      <c r="AC115" s="1132">
        <f t="shared" si="87"/>
        <v>-0.5</v>
      </c>
      <c r="AF115" s="187"/>
      <c r="AK115" s="187"/>
      <c r="AR115" s="11"/>
      <c r="AS115" s="1139"/>
      <c r="AT115" s="1135"/>
      <c r="AU115" s="1135"/>
      <c r="AV115" s="1132">
        <f t="shared" si="89"/>
        <v>-0.5</v>
      </c>
      <c r="AY115" s="40"/>
      <c r="BD115" s="187"/>
      <c r="BG115" s="1132"/>
      <c r="BH115" s="1132"/>
      <c r="BI115" s="1132"/>
    </row>
    <row r="116" spans="1:61" x14ac:dyDescent="0.2">
      <c r="A116" s="1135">
        <v>0</v>
      </c>
      <c r="B116" s="1135">
        <v>0</v>
      </c>
      <c r="C116" s="1135"/>
      <c r="D116" s="1135">
        <v>0</v>
      </c>
      <c r="E116" s="187">
        <v>0</v>
      </c>
      <c r="F116" s="187"/>
      <c r="G116" s="187">
        <v>0</v>
      </c>
      <c r="H116" s="187">
        <v>0</v>
      </c>
      <c r="I116" s="187"/>
      <c r="J116" s="187">
        <v>0</v>
      </c>
      <c r="K116" s="187">
        <v>0</v>
      </c>
      <c r="L116" s="187"/>
      <c r="M116" s="187">
        <v>0</v>
      </c>
      <c r="N116" s="187">
        <v>0</v>
      </c>
      <c r="O116" s="187"/>
      <c r="P116" s="187">
        <v>0</v>
      </c>
      <c r="Q116" s="187">
        <v>0</v>
      </c>
      <c r="R116" s="187"/>
      <c r="S116" s="187">
        <v>0</v>
      </c>
      <c r="T116" s="187">
        <v>0</v>
      </c>
      <c r="U116" s="187"/>
      <c r="V116" s="1138">
        <f t="shared" ref="V116:V131" si="130">CHOOSE($B$1,A116,D116,G116,J116,M116,P116,S116)</f>
        <v>0</v>
      </c>
      <c r="W116" s="1138">
        <f t="shared" ref="W116:W131" si="131">CHOOSE($B$1,B116,E116,H116,K116,N116,Q116,T116)</f>
        <v>0</v>
      </c>
      <c r="Y116" s="1132">
        <v>5</v>
      </c>
      <c r="Z116" s="44">
        <v>196</v>
      </c>
      <c r="AA116" s="1135">
        <f>V116</f>
        <v>0</v>
      </c>
      <c r="AB116" s="1135">
        <f t="shared" ref="AB116:AB131" si="132">W116</f>
        <v>0</v>
      </c>
      <c r="AC116" s="1132">
        <f t="shared" si="87"/>
        <v>4.5</v>
      </c>
      <c r="AD116" s="1133">
        <f>15*(AC116-12)</f>
        <v>-112.5</v>
      </c>
      <c r="AE116" s="186">
        <f t="shared" ref="AE116:AE131" si="133">23.45*SIN(360*(284+Z116)/365/57.3)</f>
        <v>21.523005700832599</v>
      </c>
      <c r="AF116" s="40">
        <f t="shared" ref="AF116:AF131" si="134">((SIN(AE116/57.3)*SIN($B$2/57.3)*COS($Z$2/57.3))-SIN(AE116/57.3)*COS($B$2/57.3)*SIN($Z$2/57.3)*COS($Z$3/57.3)+COS(AE116/57.3)*COS($B$2/57.3)*COS($Z$2/57.3)*COS(AD116/57.3)+COS(AE116/57.3)*SIN($B$2/57.3)*SIN($Z$2/57.3)*COS($Z$3/57.3)*COS(AD116/57.3)+COS(AE116/57.3)*SIN($Z$2/57.3)*SIN($Z$3/57.3)*SIN(AD116/57.3))/(COS($B$2/57.3)*COS(AE116/57.3)*COS(AD116/57.3)+SIN($B$2/57.3)*SIN(AE116/57.3))</f>
        <v>0.81420902041807486</v>
      </c>
      <c r="AG116" s="13">
        <f t="shared" ref="AG116:AG131" si="135">57.3*ASIN(SIN($B$2/57.3)*SIN(AE116/57.3)+COS($B$2/57.3)*COS(AD116/57.3)*COS(AE116/57.6))</f>
        <v>-29.90235857706833</v>
      </c>
      <c r="AH116" s="1132">
        <f>IF(AG116&lt;0,0,1)</f>
        <v>0</v>
      </c>
      <c r="AI116" s="1132">
        <f>IF(AF116&lt;0,0,1)</f>
        <v>1</v>
      </c>
      <c r="AJ116" s="187">
        <f>AF116*AI116*AH116</f>
        <v>0</v>
      </c>
      <c r="AK116" s="1136">
        <f t="shared" ref="AK116:AK131" si="136">AA116*AJ116+((1+COS($Z$2/57.3))/2)*AB116+((1-COS($Z$2/57.3))/2)*(AA116+AB116)*0.2</f>
        <v>0</v>
      </c>
      <c r="AR116" s="1132">
        <v>5</v>
      </c>
      <c r="AS116" s="44">
        <v>196</v>
      </c>
      <c r="AT116" s="1135">
        <f t="shared" si="88"/>
        <v>0</v>
      </c>
      <c r="AU116" s="1135">
        <f t="shared" si="86"/>
        <v>0</v>
      </c>
      <c r="AV116" s="1132">
        <f t="shared" si="89"/>
        <v>4.5</v>
      </c>
      <c r="AW116" s="1133">
        <f>15*(AV116-12)</f>
        <v>-112.5</v>
      </c>
      <c r="AX116" s="186">
        <f t="shared" ref="AX116:AX131" si="137">23.45*SIN(360*(284+AS116)/365/57.3)</f>
        <v>21.523005700832599</v>
      </c>
      <c r="AY116" s="40">
        <f t="shared" ref="AY116:AY131" si="138">((SIN(AX116/57.3)*SIN($B$2/57.3)*COS($AS$2/57.3))-SIN(AX116/57.3)*COS($B$2/57.3)*SIN($AS$2/57.3)*COS($AS$3/57.3)+COS(AX116/57.3)*COS($B$2/57.3)*COS($AS$2/57.3)*COS(AW116/57.3)+COS(AX116/57.3)*SIN($B$2/57.3)*SIN($AS$2/57.3)*COS($AS$3/57.3)*COS(AW116/57.3)+COS(AX116/57.3)*SIN($AS$2/57.3)*SIN($AS$3/57.3)*SIN(AW116/57.3))/(COS($B$2/57.3)*COS(AX116/57.3)*COS(AW116/57.3)+SIN($B$2/57.3)*SIN(AX116/57.3))</f>
        <v>0.81420902041807486</v>
      </c>
      <c r="AZ116" s="13">
        <f t="shared" ref="AZ116:AZ131" si="139">57.3*ASIN(SIN($B$2/57.3)*SIN(AX116/57.3)+COS($B$2/57.3)*COS(AW116/57.3)*COS(AX116/57.6))</f>
        <v>-29.90235857706833</v>
      </c>
      <c r="BA116" s="1132">
        <f>IF(AZ116&lt;0,0,1)</f>
        <v>0</v>
      </c>
      <c r="BB116" s="1132">
        <f>IF(AY116&lt;0,0,1)</f>
        <v>1</v>
      </c>
      <c r="BC116" s="187">
        <f>AY116*BB116*BA116</f>
        <v>0</v>
      </c>
      <c r="BD116" s="1136">
        <f t="shared" ref="BD116:BD131" si="140">AT116*BC116+((1+COS($Z$2/57.3))/2)*AU116+((1-COS($Z$2/57.3))/2)*(AT116+AU116)*0.2</f>
        <v>0</v>
      </c>
      <c r="BG116" s="1132"/>
      <c r="BH116" s="1132"/>
      <c r="BI116" s="1132"/>
    </row>
    <row r="117" spans="1:61" x14ac:dyDescent="0.2">
      <c r="A117" s="1135">
        <v>0</v>
      </c>
      <c r="B117" s="1135">
        <v>0</v>
      </c>
      <c r="C117" s="1135"/>
      <c r="D117" s="1135">
        <v>0</v>
      </c>
      <c r="E117" s="187">
        <v>0</v>
      </c>
      <c r="F117" s="187"/>
      <c r="G117" s="187">
        <v>0</v>
      </c>
      <c r="H117" s="187">
        <v>0</v>
      </c>
      <c r="I117" s="187"/>
      <c r="J117" s="187">
        <v>0</v>
      </c>
      <c r="K117" s="187">
        <v>0</v>
      </c>
      <c r="L117" s="187"/>
      <c r="M117" s="187">
        <v>0</v>
      </c>
      <c r="N117" s="187">
        <v>0</v>
      </c>
      <c r="O117" s="187"/>
      <c r="P117" s="187">
        <v>0</v>
      </c>
      <c r="Q117" s="187">
        <v>0</v>
      </c>
      <c r="R117" s="187"/>
      <c r="S117" s="187">
        <v>0</v>
      </c>
      <c r="T117" s="187">
        <v>0</v>
      </c>
      <c r="U117" s="187"/>
      <c r="V117" s="1138">
        <f t="shared" si="130"/>
        <v>0</v>
      </c>
      <c r="W117" s="1138">
        <f t="shared" si="131"/>
        <v>0</v>
      </c>
      <c r="Y117" s="1132">
        <v>6</v>
      </c>
      <c r="Z117" s="44">
        <v>196</v>
      </c>
      <c r="AA117" s="1135">
        <f t="shared" ref="AA117:AA131" si="141">V117</f>
        <v>0</v>
      </c>
      <c r="AB117" s="1135">
        <f t="shared" si="132"/>
        <v>0</v>
      </c>
      <c r="AC117" s="1132">
        <f t="shared" si="87"/>
        <v>5.5</v>
      </c>
      <c r="AD117" s="1133">
        <f t="shared" ref="AD117:AD131" si="142">15*(AC117-12)</f>
        <v>-97.5</v>
      </c>
      <c r="AE117" s="186">
        <f t="shared" si="133"/>
        <v>21.523005700832599</v>
      </c>
      <c r="AF117" s="40">
        <f t="shared" si="134"/>
        <v>0.6007324793997566</v>
      </c>
      <c r="AG117" s="13">
        <f t="shared" si="135"/>
        <v>-17.555489322151722</v>
      </c>
      <c r="AH117" s="1132">
        <f t="shared" ref="AH117:AH131" si="143">IF(AG117&lt;0,0,1)</f>
        <v>0</v>
      </c>
      <c r="AI117" s="1132">
        <f t="shared" ref="AI117:AI131" si="144">IF(AF117&lt;0,0,1)</f>
        <v>1</v>
      </c>
      <c r="AJ117" s="187">
        <f t="shared" ref="AJ117:AJ131" si="145">AF117*AI117*AH117</f>
        <v>0</v>
      </c>
      <c r="AK117" s="1136">
        <f t="shared" si="136"/>
        <v>0</v>
      </c>
      <c r="AR117" s="1132">
        <v>6</v>
      </c>
      <c r="AS117" s="44">
        <v>196</v>
      </c>
      <c r="AT117" s="1135">
        <f t="shared" si="88"/>
        <v>0</v>
      </c>
      <c r="AU117" s="1135">
        <f t="shared" si="86"/>
        <v>0</v>
      </c>
      <c r="AV117" s="1132">
        <f t="shared" si="89"/>
        <v>5.5</v>
      </c>
      <c r="AW117" s="1133">
        <f t="shared" ref="AW117:AW131" si="146">15*(AV117-12)</f>
        <v>-97.5</v>
      </c>
      <c r="AX117" s="186">
        <f t="shared" si="137"/>
        <v>21.523005700832599</v>
      </c>
      <c r="AY117" s="40">
        <f t="shared" si="138"/>
        <v>0.6007324793997566</v>
      </c>
      <c r="AZ117" s="13">
        <f t="shared" si="139"/>
        <v>-17.555489322151722</v>
      </c>
      <c r="BA117" s="1132">
        <f t="shared" ref="BA117:BA131" si="147">IF(AZ117&lt;0,0,1)</f>
        <v>0</v>
      </c>
      <c r="BB117" s="1132">
        <f t="shared" ref="BB117:BB131" si="148">IF(AY117&lt;0,0,1)</f>
        <v>1</v>
      </c>
      <c r="BC117" s="187">
        <f t="shared" ref="BC117:BC131" si="149">AY117*BB117*BA117</f>
        <v>0</v>
      </c>
      <c r="BD117" s="1136">
        <f t="shared" si="140"/>
        <v>0</v>
      </c>
      <c r="BG117" s="1132"/>
      <c r="BH117" s="1132"/>
      <c r="BI117" s="1132"/>
    </row>
    <row r="118" spans="1:61" x14ac:dyDescent="0.2">
      <c r="A118" s="1135">
        <v>2.2391239696398485E-5</v>
      </c>
      <c r="B118" s="1135">
        <v>5.5838153992893733E-4</v>
      </c>
      <c r="C118" s="1135"/>
      <c r="D118" s="1135">
        <v>2.6278466538128253E-6</v>
      </c>
      <c r="E118" s="187">
        <v>3.1534159845753902E-5</v>
      </c>
      <c r="F118" s="187"/>
      <c r="G118" s="187">
        <v>0</v>
      </c>
      <c r="H118" s="187">
        <v>1.7712856017282976E-5</v>
      </c>
      <c r="I118" s="187"/>
      <c r="J118" s="187">
        <v>9.8396582955028811E-4</v>
      </c>
      <c r="K118" s="187">
        <v>5.344723483239033E-3</v>
      </c>
      <c r="L118" s="187"/>
      <c r="M118" s="187">
        <v>0</v>
      </c>
      <c r="N118" s="187">
        <v>0</v>
      </c>
      <c r="O118" s="187"/>
      <c r="P118" s="187">
        <v>0</v>
      </c>
      <c r="Q118" s="187">
        <v>0</v>
      </c>
      <c r="R118" s="187"/>
      <c r="S118" s="187">
        <v>0</v>
      </c>
      <c r="T118" s="187">
        <v>0</v>
      </c>
      <c r="U118" s="187"/>
      <c r="V118" s="1138">
        <f t="shared" si="130"/>
        <v>0</v>
      </c>
      <c r="W118" s="1138">
        <f t="shared" si="131"/>
        <v>1.7712856017282976E-5</v>
      </c>
      <c r="Y118" s="1132">
        <v>7</v>
      </c>
      <c r="Z118" s="44">
        <v>196</v>
      </c>
      <c r="AA118" s="1135">
        <f t="shared" si="141"/>
        <v>0</v>
      </c>
      <c r="AB118" s="1135">
        <f t="shared" si="132"/>
        <v>1.7712856017282976E-5</v>
      </c>
      <c r="AC118" s="1132">
        <f t="shared" si="87"/>
        <v>6.5</v>
      </c>
      <c r="AD118" s="1133">
        <f t="shared" si="142"/>
        <v>-82.5</v>
      </c>
      <c r="AE118" s="186">
        <f t="shared" si="133"/>
        <v>21.523005700832599</v>
      </c>
      <c r="AF118" s="40">
        <f t="shared" si="134"/>
        <v>-0.59871997693536294</v>
      </c>
      <c r="AG118" s="13">
        <f t="shared" si="135"/>
        <v>-5.6121976902593049</v>
      </c>
      <c r="AH118" s="1132">
        <f t="shared" si="143"/>
        <v>0</v>
      </c>
      <c r="AI118" s="1132">
        <f t="shared" si="144"/>
        <v>0</v>
      </c>
      <c r="AJ118" s="187">
        <f t="shared" si="145"/>
        <v>0</v>
      </c>
      <c r="AK118" s="1136">
        <f t="shared" si="136"/>
        <v>1.6055481758957574E-5</v>
      </c>
      <c r="AR118" s="1132">
        <v>7</v>
      </c>
      <c r="AS118" s="44">
        <v>196</v>
      </c>
      <c r="AT118" s="1135">
        <f t="shared" si="88"/>
        <v>0</v>
      </c>
      <c r="AU118" s="1135">
        <f t="shared" si="86"/>
        <v>1.7712856017282976E-5</v>
      </c>
      <c r="AV118" s="1132">
        <f t="shared" si="89"/>
        <v>6.5</v>
      </c>
      <c r="AW118" s="1133">
        <f t="shared" si="146"/>
        <v>-82.5</v>
      </c>
      <c r="AX118" s="186">
        <f t="shared" si="137"/>
        <v>21.523005700832599</v>
      </c>
      <c r="AY118" s="40">
        <f t="shared" si="138"/>
        <v>-0.59871997693536294</v>
      </c>
      <c r="AZ118" s="13">
        <f t="shared" si="139"/>
        <v>-5.6121976902593049</v>
      </c>
      <c r="BA118" s="1132">
        <f t="shared" si="147"/>
        <v>0</v>
      </c>
      <c r="BB118" s="1132">
        <f t="shared" si="148"/>
        <v>0</v>
      </c>
      <c r="BC118" s="187">
        <f t="shared" si="149"/>
        <v>0</v>
      </c>
      <c r="BD118" s="1136">
        <f t="shared" si="140"/>
        <v>1.6055481758957574E-5</v>
      </c>
      <c r="BG118" s="1132"/>
      <c r="BH118" s="1132"/>
      <c r="BI118" s="1132"/>
    </row>
    <row r="119" spans="1:61" x14ac:dyDescent="0.2">
      <c r="A119" s="1135">
        <v>7.4419674720579768E-3</v>
      </c>
      <c r="B119" s="1135">
        <v>1.8246809999759472E-2</v>
      </c>
      <c r="C119" s="1135"/>
      <c r="D119" s="1135">
        <v>2.1623022445083867E-3</v>
      </c>
      <c r="E119" s="187">
        <v>7.3874272627218393E-3</v>
      </c>
      <c r="F119" s="187"/>
      <c r="G119" s="187">
        <v>7.9117423543863957E-4</v>
      </c>
      <c r="H119" s="187">
        <v>7.6106238020925837E-3</v>
      </c>
      <c r="I119" s="187"/>
      <c r="J119" s="187">
        <v>1.0342822640159229E-2</v>
      </c>
      <c r="K119" s="187">
        <v>1.8751257910861647E-2</v>
      </c>
      <c r="L119" s="187"/>
      <c r="M119" s="187">
        <v>5.9870898342479753E-4</v>
      </c>
      <c r="N119" s="187">
        <v>4.7937171983674668E-3</v>
      </c>
      <c r="O119" s="187"/>
      <c r="P119" s="187">
        <v>1.0600220296694581E-4</v>
      </c>
      <c r="Q119" s="187">
        <v>2.5068088539480426E-3</v>
      </c>
      <c r="R119" s="187"/>
      <c r="S119" s="187">
        <v>3.5383188238318219E-5</v>
      </c>
      <c r="T119" s="187">
        <v>9.907292706729102E-5</v>
      </c>
      <c r="U119" s="187"/>
      <c r="V119" s="1138">
        <f t="shared" si="130"/>
        <v>7.9117423543863957E-4</v>
      </c>
      <c r="W119" s="1138">
        <f t="shared" si="131"/>
        <v>7.6106238020925837E-3</v>
      </c>
      <c r="Y119" s="1132">
        <v>8</v>
      </c>
      <c r="Z119" s="44">
        <v>196</v>
      </c>
      <c r="AA119" s="1135">
        <f t="shared" si="141"/>
        <v>7.9117423543863957E-4</v>
      </c>
      <c r="AB119" s="1135">
        <f t="shared" si="132"/>
        <v>7.6106238020925837E-3</v>
      </c>
      <c r="AC119" s="1132">
        <f t="shared" si="87"/>
        <v>7.5</v>
      </c>
      <c r="AD119" s="1133">
        <f t="shared" si="142"/>
        <v>-67.5</v>
      </c>
      <c r="AE119" s="186">
        <f t="shared" si="133"/>
        <v>21.523005700832599</v>
      </c>
      <c r="AF119" s="40">
        <f t="shared" si="134"/>
        <v>3.0062466688948173</v>
      </c>
      <c r="AG119" s="13">
        <f t="shared" si="135"/>
        <v>5.6867589701559078</v>
      </c>
      <c r="AH119" s="1132">
        <f t="shared" si="143"/>
        <v>1</v>
      </c>
      <c r="AI119" s="1132">
        <f t="shared" si="144"/>
        <v>1</v>
      </c>
      <c r="AJ119" s="187">
        <f t="shared" si="145"/>
        <v>3.0062466688948173</v>
      </c>
      <c r="AK119" s="1136">
        <f t="shared" si="136"/>
        <v>9.2954775847862159E-3</v>
      </c>
      <c r="AR119" s="1132">
        <v>8</v>
      </c>
      <c r="AS119" s="44">
        <v>196</v>
      </c>
      <c r="AT119" s="1135">
        <f t="shared" si="88"/>
        <v>7.9117423543863957E-4</v>
      </c>
      <c r="AU119" s="1135">
        <f t="shared" si="86"/>
        <v>7.6106238020925837E-3</v>
      </c>
      <c r="AV119" s="1132">
        <f t="shared" si="89"/>
        <v>7.5</v>
      </c>
      <c r="AW119" s="1133">
        <f t="shared" si="146"/>
        <v>-67.5</v>
      </c>
      <c r="AX119" s="186">
        <f t="shared" si="137"/>
        <v>21.523005700832599</v>
      </c>
      <c r="AY119" s="40">
        <f t="shared" si="138"/>
        <v>3.0062466688948173</v>
      </c>
      <c r="AZ119" s="13">
        <f t="shared" si="139"/>
        <v>5.6867589701559078</v>
      </c>
      <c r="BA119" s="1132">
        <f t="shared" si="147"/>
        <v>1</v>
      </c>
      <c r="BB119" s="1132">
        <f t="shared" si="148"/>
        <v>1</v>
      </c>
      <c r="BC119" s="187">
        <f t="shared" si="149"/>
        <v>3.0062466688948173</v>
      </c>
      <c r="BD119" s="1136">
        <f t="shared" si="140"/>
        <v>9.2954775847862159E-3</v>
      </c>
      <c r="BG119" s="1132"/>
      <c r="BH119" s="1132"/>
      <c r="BI119" s="1132"/>
    </row>
    <row r="120" spans="1:61" x14ac:dyDescent="0.2">
      <c r="A120" s="1135">
        <v>3.6385898149513346E-2</v>
      </c>
      <c r="B120" s="1135">
        <v>3.2428370191778827E-2</v>
      </c>
      <c r="C120" s="1135"/>
      <c r="D120" s="1135">
        <v>1.9171109691364721E-2</v>
      </c>
      <c r="E120" s="187">
        <v>4.444174771414109E-2</v>
      </c>
      <c r="F120" s="187"/>
      <c r="G120" s="187">
        <v>1.0447771057726129E-2</v>
      </c>
      <c r="H120" s="187">
        <v>4.5000872905844917E-2</v>
      </c>
      <c r="I120" s="187"/>
      <c r="J120" s="187">
        <v>2.0450835252812136E-2</v>
      </c>
      <c r="K120" s="187">
        <v>4.1404834850280667E-2</v>
      </c>
      <c r="L120" s="187"/>
      <c r="M120" s="187">
        <v>1.4825955332593435E-2</v>
      </c>
      <c r="N120" s="187">
        <v>4.5328734967266138E-2</v>
      </c>
      <c r="O120" s="187"/>
      <c r="P120" s="187">
        <v>1.5043454857500867E-2</v>
      </c>
      <c r="Q120" s="187">
        <v>3.282820503427189E-2</v>
      </c>
      <c r="R120" s="187"/>
      <c r="S120" s="187">
        <v>2.255543824906382E-3</v>
      </c>
      <c r="T120" s="187">
        <v>1.326826542845284E-2</v>
      </c>
      <c r="U120" s="187"/>
      <c r="V120" s="1138">
        <f t="shared" si="130"/>
        <v>1.0447771057726129E-2</v>
      </c>
      <c r="W120" s="1138">
        <f t="shared" si="131"/>
        <v>4.5000872905844917E-2</v>
      </c>
      <c r="Y120" s="1132">
        <v>9</v>
      </c>
      <c r="Z120" s="44">
        <v>196</v>
      </c>
      <c r="AA120" s="1135">
        <f t="shared" si="141"/>
        <v>1.0447771057726129E-2</v>
      </c>
      <c r="AB120" s="1135">
        <f t="shared" si="132"/>
        <v>4.5000872905844917E-2</v>
      </c>
      <c r="AC120" s="1132">
        <f t="shared" si="87"/>
        <v>8.5</v>
      </c>
      <c r="AD120" s="1133">
        <f t="shared" si="142"/>
        <v>-52.5</v>
      </c>
      <c r="AE120" s="186">
        <f t="shared" si="133"/>
        <v>21.523005700832599</v>
      </c>
      <c r="AF120" s="40">
        <f t="shared" si="134"/>
        <v>1.883379734792199</v>
      </c>
      <c r="AG120" s="13">
        <f t="shared" si="135"/>
        <v>15.998243964698091</v>
      </c>
      <c r="AH120" s="1132">
        <f t="shared" si="143"/>
        <v>1</v>
      </c>
      <c r="AI120" s="1132">
        <f t="shared" si="144"/>
        <v>1</v>
      </c>
      <c r="AJ120" s="187">
        <f t="shared" si="145"/>
        <v>1.883379734792199</v>
      </c>
      <c r="AK120" s="1136">
        <f t="shared" si="136"/>
        <v>6.0711703304798234E-2</v>
      </c>
      <c r="AR120" s="1132">
        <v>9</v>
      </c>
      <c r="AS120" s="44">
        <v>196</v>
      </c>
      <c r="AT120" s="1135">
        <f t="shared" si="88"/>
        <v>1.0447771057726129E-2</v>
      </c>
      <c r="AU120" s="1135">
        <f t="shared" si="86"/>
        <v>4.5000872905844917E-2</v>
      </c>
      <c r="AV120" s="1132">
        <f t="shared" si="89"/>
        <v>8.5</v>
      </c>
      <c r="AW120" s="1133">
        <f t="shared" si="146"/>
        <v>-52.5</v>
      </c>
      <c r="AX120" s="186">
        <f t="shared" si="137"/>
        <v>21.523005700832599</v>
      </c>
      <c r="AY120" s="40">
        <f t="shared" si="138"/>
        <v>1.883379734792199</v>
      </c>
      <c r="AZ120" s="13">
        <f t="shared" si="139"/>
        <v>15.998243964698091</v>
      </c>
      <c r="BA120" s="1132">
        <f t="shared" si="147"/>
        <v>1</v>
      </c>
      <c r="BB120" s="1132">
        <f t="shared" si="148"/>
        <v>1</v>
      </c>
      <c r="BC120" s="187">
        <f t="shared" si="149"/>
        <v>1.883379734792199</v>
      </c>
      <c r="BD120" s="1136">
        <f t="shared" si="140"/>
        <v>6.0711703304798234E-2</v>
      </c>
      <c r="BG120" s="1132"/>
      <c r="BH120" s="1132"/>
      <c r="BI120" s="1132"/>
    </row>
    <row r="121" spans="1:61" x14ac:dyDescent="0.2">
      <c r="A121" s="1135">
        <v>6.9295289050429226E-2</v>
      </c>
      <c r="B121" s="1135">
        <v>4.2929604307920005E-2</v>
      </c>
      <c r="C121" s="1135"/>
      <c r="D121" s="1135">
        <v>5.4055995138116764E-2</v>
      </c>
      <c r="E121" s="187">
        <v>6.2543097693312691E-2</v>
      </c>
      <c r="F121" s="187"/>
      <c r="G121" s="187">
        <v>3.5372573466514096E-2</v>
      </c>
      <c r="H121" s="187">
        <v>7.1931908286186147E-2</v>
      </c>
      <c r="I121" s="187"/>
      <c r="J121" s="187">
        <v>3.3477201064472134E-2</v>
      </c>
      <c r="K121" s="187">
        <v>7.0532459690945321E-2</v>
      </c>
      <c r="L121" s="187"/>
      <c r="M121" s="187">
        <v>4.035943316436913E-2</v>
      </c>
      <c r="N121" s="187">
        <v>8.2932460418599085E-2</v>
      </c>
      <c r="O121" s="187"/>
      <c r="P121" s="187">
        <v>6.3618570124489154E-2</v>
      </c>
      <c r="Q121" s="187">
        <v>4.6149715260380197E-2</v>
      </c>
      <c r="R121" s="187"/>
      <c r="S121" s="187">
        <v>3.0785073433824715E-2</v>
      </c>
      <c r="T121" s="187">
        <v>6.2087466365145977E-2</v>
      </c>
      <c r="U121" s="187"/>
      <c r="V121" s="1138">
        <f t="shared" si="130"/>
        <v>3.5372573466514096E-2</v>
      </c>
      <c r="W121" s="1138">
        <f t="shared" si="131"/>
        <v>7.1931908286186147E-2</v>
      </c>
      <c r="Y121" s="1132">
        <v>10</v>
      </c>
      <c r="Z121" s="44">
        <v>196</v>
      </c>
      <c r="AA121" s="1135">
        <f t="shared" si="141"/>
        <v>3.5372573466514096E-2</v>
      </c>
      <c r="AB121" s="1135">
        <f t="shared" si="132"/>
        <v>7.1931908286186147E-2</v>
      </c>
      <c r="AC121" s="1132">
        <f t="shared" si="87"/>
        <v>9.5</v>
      </c>
      <c r="AD121" s="1133">
        <f t="shared" si="142"/>
        <v>-37.5</v>
      </c>
      <c r="AE121" s="186">
        <f t="shared" si="133"/>
        <v>21.523005700832599</v>
      </c>
      <c r="AF121" s="40">
        <f t="shared" si="134"/>
        <v>1.6865437349740211</v>
      </c>
      <c r="AG121" s="13">
        <f t="shared" si="135"/>
        <v>24.817630144184246</v>
      </c>
      <c r="AH121" s="1132">
        <f t="shared" si="143"/>
        <v>1</v>
      </c>
      <c r="AI121" s="1132">
        <f t="shared" si="144"/>
        <v>1</v>
      </c>
      <c r="AJ121" s="187">
        <f t="shared" si="145"/>
        <v>1.6865437349740211</v>
      </c>
      <c r="AK121" s="1136">
        <f t="shared" si="136"/>
        <v>0.12568614769145328</v>
      </c>
      <c r="AR121" s="1132">
        <v>10</v>
      </c>
      <c r="AS121" s="44">
        <v>196</v>
      </c>
      <c r="AT121" s="1135">
        <f t="shared" si="88"/>
        <v>3.5372573466514096E-2</v>
      </c>
      <c r="AU121" s="1135">
        <f t="shared" si="86"/>
        <v>7.1931908286186147E-2</v>
      </c>
      <c r="AV121" s="1132">
        <f t="shared" si="89"/>
        <v>9.5</v>
      </c>
      <c r="AW121" s="1133">
        <f t="shared" si="146"/>
        <v>-37.5</v>
      </c>
      <c r="AX121" s="186">
        <f t="shared" si="137"/>
        <v>21.523005700832599</v>
      </c>
      <c r="AY121" s="40">
        <f t="shared" si="138"/>
        <v>1.6865437349740211</v>
      </c>
      <c r="AZ121" s="13">
        <f t="shared" si="139"/>
        <v>24.817630144184246</v>
      </c>
      <c r="BA121" s="1132">
        <f t="shared" si="147"/>
        <v>1</v>
      </c>
      <c r="BB121" s="1132">
        <f t="shared" si="148"/>
        <v>1</v>
      </c>
      <c r="BC121" s="187">
        <f t="shared" si="149"/>
        <v>1.6865437349740211</v>
      </c>
      <c r="BD121" s="1136">
        <f t="shared" si="140"/>
        <v>0.12568614769145328</v>
      </c>
      <c r="BG121" s="1132"/>
      <c r="BH121" s="1132"/>
      <c r="BI121" s="1132"/>
    </row>
    <row r="122" spans="1:61" x14ac:dyDescent="0.2">
      <c r="A122" s="1135">
        <v>9.1384247010926317E-2</v>
      </c>
      <c r="B122" s="1135">
        <v>4.760377559454318E-2</v>
      </c>
      <c r="C122" s="1135"/>
      <c r="D122" s="1135">
        <v>6.146270538602816E-2</v>
      </c>
      <c r="E122" s="187">
        <v>7.9452943578030788E-2</v>
      </c>
      <c r="F122" s="187"/>
      <c r="G122" s="187">
        <v>7.0925227635870586E-2</v>
      </c>
      <c r="H122" s="187">
        <v>8.5411391715338486E-2</v>
      </c>
      <c r="I122" s="187"/>
      <c r="J122" s="187">
        <v>4.7509895565444937E-2</v>
      </c>
      <c r="K122" s="187">
        <v>9.0547219178388594E-2</v>
      </c>
      <c r="L122" s="187"/>
      <c r="M122" s="187">
        <v>5.835939666881762E-2</v>
      </c>
      <c r="N122" s="187">
        <v>0.1022020119494112</v>
      </c>
      <c r="O122" s="187"/>
      <c r="P122" s="187">
        <v>9.9285565853010876E-2</v>
      </c>
      <c r="Q122" s="187">
        <v>6.8084906242751098E-2</v>
      </c>
      <c r="R122" s="187"/>
      <c r="S122" s="187">
        <v>8.3491038512452626E-2</v>
      </c>
      <c r="T122" s="187">
        <v>9.127735827315582E-2</v>
      </c>
      <c r="U122" s="187"/>
      <c r="V122" s="1138">
        <f t="shared" si="130"/>
        <v>7.0925227635870586E-2</v>
      </c>
      <c r="W122" s="1138">
        <f t="shared" si="131"/>
        <v>8.5411391715338486E-2</v>
      </c>
      <c r="Y122" s="1132">
        <v>11</v>
      </c>
      <c r="Z122" s="44">
        <v>196</v>
      </c>
      <c r="AA122" s="1135">
        <f t="shared" si="141"/>
        <v>7.0925227635870586E-2</v>
      </c>
      <c r="AB122" s="1135">
        <f t="shared" si="132"/>
        <v>8.5411391715338486E-2</v>
      </c>
      <c r="AC122" s="1132">
        <f t="shared" si="87"/>
        <v>10.5</v>
      </c>
      <c r="AD122" s="1133">
        <f t="shared" si="142"/>
        <v>-22.5</v>
      </c>
      <c r="AE122" s="186">
        <f t="shared" si="133"/>
        <v>21.523005700832599</v>
      </c>
      <c r="AF122" s="40">
        <f t="shared" si="134"/>
        <v>1.63208911544011</v>
      </c>
      <c r="AG122" s="13">
        <f t="shared" si="135"/>
        <v>31.442337923695746</v>
      </c>
      <c r="AH122" s="1132">
        <f t="shared" si="143"/>
        <v>1</v>
      </c>
      <c r="AI122" s="1132">
        <f t="shared" si="144"/>
        <v>1</v>
      </c>
      <c r="AJ122" s="187">
        <f t="shared" si="145"/>
        <v>1.63208911544011</v>
      </c>
      <c r="AK122" s="1136">
        <f t="shared" si="136"/>
        <v>0.19483492576615435</v>
      </c>
      <c r="AR122" s="1132">
        <v>11</v>
      </c>
      <c r="AS122" s="44">
        <v>196</v>
      </c>
      <c r="AT122" s="1135">
        <f t="shared" si="88"/>
        <v>7.0925227635870586E-2</v>
      </c>
      <c r="AU122" s="1135">
        <f t="shared" si="86"/>
        <v>8.5411391715338486E-2</v>
      </c>
      <c r="AV122" s="1132">
        <f t="shared" si="89"/>
        <v>10.5</v>
      </c>
      <c r="AW122" s="1133">
        <f t="shared" si="146"/>
        <v>-22.5</v>
      </c>
      <c r="AX122" s="186">
        <f t="shared" si="137"/>
        <v>21.523005700832599</v>
      </c>
      <c r="AY122" s="40">
        <f t="shared" si="138"/>
        <v>1.63208911544011</v>
      </c>
      <c r="AZ122" s="13">
        <f t="shared" si="139"/>
        <v>31.442337923695746</v>
      </c>
      <c r="BA122" s="1132">
        <f t="shared" si="147"/>
        <v>1</v>
      </c>
      <c r="BB122" s="1132">
        <f t="shared" si="148"/>
        <v>1</v>
      </c>
      <c r="BC122" s="187">
        <f t="shared" si="149"/>
        <v>1.63208911544011</v>
      </c>
      <c r="BD122" s="1136">
        <f t="shared" si="140"/>
        <v>0.19483492576615435</v>
      </c>
      <c r="BG122" s="1132"/>
      <c r="BH122" s="1132"/>
      <c r="BI122" s="1132"/>
    </row>
    <row r="123" spans="1:61" x14ac:dyDescent="0.2">
      <c r="A123" s="1135">
        <v>9.8454280945064115E-2</v>
      </c>
      <c r="B123" s="1135">
        <v>5.5248984498382239E-2</v>
      </c>
      <c r="C123" s="1135"/>
      <c r="D123" s="1135">
        <v>8.7751683310771683E-2</v>
      </c>
      <c r="E123" s="187">
        <v>8.1536825974504346E-2</v>
      </c>
      <c r="F123" s="187"/>
      <c r="G123" s="187">
        <v>8.8357630099546558E-2</v>
      </c>
      <c r="H123" s="187">
        <v>8.4133113939424561E-2</v>
      </c>
      <c r="I123" s="187"/>
      <c r="J123" s="187">
        <v>6.0267907059954669E-2</v>
      </c>
      <c r="K123" s="187">
        <v>0.10038687747389141</v>
      </c>
      <c r="L123" s="187"/>
      <c r="M123" s="187">
        <v>3.8232422988836223E-2</v>
      </c>
      <c r="N123" s="187">
        <v>0.11236715832831484</v>
      </c>
      <c r="O123" s="187"/>
      <c r="P123" s="187">
        <v>9.1121785609910216E-2</v>
      </c>
      <c r="Q123" s="187">
        <v>8.1254985960770715E-2</v>
      </c>
      <c r="R123" s="187"/>
      <c r="S123" s="187">
        <v>0.11682821092527909</v>
      </c>
      <c r="T123" s="187">
        <v>9.987258712147698E-2</v>
      </c>
      <c r="U123" s="187"/>
      <c r="V123" s="1138">
        <f t="shared" si="130"/>
        <v>8.8357630099546558E-2</v>
      </c>
      <c r="W123" s="1138">
        <f t="shared" si="131"/>
        <v>8.4133113939424561E-2</v>
      </c>
      <c r="Y123" s="1132">
        <v>12</v>
      </c>
      <c r="Z123" s="44">
        <v>196</v>
      </c>
      <c r="AA123" s="1135">
        <f t="shared" si="141"/>
        <v>8.8357630099546558E-2</v>
      </c>
      <c r="AB123" s="1135">
        <f t="shared" si="132"/>
        <v>8.4133113939424561E-2</v>
      </c>
      <c r="AC123" s="1132">
        <f t="shared" si="87"/>
        <v>11.5</v>
      </c>
      <c r="AD123" s="1133">
        <f t="shared" si="142"/>
        <v>-7.5</v>
      </c>
      <c r="AE123" s="186">
        <f t="shared" si="133"/>
        <v>21.523005700832599</v>
      </c>
      <c r="AF123" s="40">
        <f t="shared" si="134"/>
        <v>1.635975730417389</v>
      </c>
      <c r="AG123" s="13">
        <f t="shared" si="135"/>
        <v>35.057020457420933</v>
      </c>
      <c r="AH123" s="1132">
        <f t="shared" si="143"/>
        <v>1</v>
      </c>
      <c r="AI123" s="1132">
        <f t="shared" si="144"/>
        <v>1</v>
      </c>
      <c r="AJ123" s="187">
        <f t="shared" si="145"/>
        <v>1.635975730417389</v>
      </c>
      <c r="AK123" s="1136">
        <f t="shared" si="136"/>
        <v>0.22287868469613042</v>
      </c>
      <c r="AR123" s="1132">
        <v>12</v>
      </c>
      <c r="AS123" s="44">
        <v>196</v>
      </c>
      <c r="AT123" s="1135">
        <f t="shared" si="88"/>
        <v>8.8357630099546558E-2</v>
      </c>
      <c r="AU123" s="1135">
        <f t="shared" si="86"/>
        <v>8.4133113939424561E-2</v>
      </c>
      <c r="AV123" s="1132">
        <f t="shared" si="89"/>
        <v>11.5</v>
      </c>
      <c r="AW123" s="1133">
        <f t="shared" si="146"/>
        <v>-7.5</v>
      </c>
      <c r="AX123" s="186">
        <f t="shared" si="137"/>
        <v>21.523005700832599</v>
      </c>
      <c r="AY123" s="40">
        <f t="shared" si="138"/>
        <v>1.635975730417389</v>
      </c>
      <c r="AZ123" s="13">
        <f t="shared" si="139"/>
        <v>35.057020457420933</v>
      </c>
      <c r="BA123" s="1132">
        <f t="shared" si="147"/>
        <v>1</v>
      </c>
      <c r="BB123" s="1132">
        <f t="shared" si="148"/>
        <v>1</v>
      </c>
      <c r="BC123" s="187">
        <f t="shared" si="149"/>
        <v>1.635975730417389</v>
      </c>
      <c r="BD123" s="1136">
        <f t="shared" si="140"/>
        <v>0.22287868469613042</v>
      </c>
      <c r="BG123" s="1132"/>
      <c r="BH123" s="1132"/>
      <c r="BI123" s="1132"/>
    </row>
    <row r="124" spans="1:61" x14ac:dyDescent="0.2">
      <c r="A124" s="1135">
        <v>9.8454280945064115E-2</v>
      </c>
      <c r="B124" s="1135">
        <v>5.5248984498382239E-2</v>
      </c>
      <c r="C124" s="1135"/>
      <c r="D124" s="1135">
        <v>8.7751683310771683E-2</v>
      </c>
      <c r="E124" s="187">
        <v>8.1536825974504346E-2</v>
      </c>
      <c r="F124" s="187"/>
      <c r="G124" s="187">
        <v>8.8357630099546558E-2</v>
      </c>
      <c r="H124" s="187">
        <v>8.4133113939424561E-2</v>
      </c>
      <c r="I124" s="187"/>
      <c r="J124" s="187">
        <v>6.0267907059954669E-2</v>
      </c>
      <c r="K124" s="187">
        <v>0.10038687747389141</v>
      </c>
      <c r="L124" s="187"/>
      <c r="M124" s="187">
        <v>3.8232422988836223E-2</v>
      </c>
      <c r="N124" s="187">
        <v>0.11236715832831484</v>
      </c>
      <c r="O124" s="187"/>
      <c r="P124" s="187">
        <v>9.1121785609910216E-2</v>
      </c>
      <c r="Q124" s="187">
        <v>8.1254985960770715E-2</v>
      </c>
      <c r="R124" s="187"/>
      <c r="S124" s="187">
        <v>0.11682821092527909</v>
      </c>
      <c r="T124" s="187">
        <v>9.987258712147698E-2</v>
      </c>
      <c r="U124" s="187"/>
      <c r="V124" s="1138">
        <f t="shared" si="130"/>
        <v>8.8357630099546558E-2</v>
      </c>
      <c r="W124" s="1138">
        <f t="shared" si="131"/>
        <v>8.4133113939424561E-2</v>
      </c>
      <c r="Y124" s="1132">
        <v>13</v>
      </c>
      <c r="Z124" s="44">
        <v>196</v>
      </c>
      <c r="AA124" s="1135">
        <f t="shared" si="141"/>
        <v>8.8357630099546558E-2</v>
      </c>
      <c r="AB124" s="1135">
        <f t="shared" si="132"/>
        <v>8.4133113939424561E-2</v>
      </c>
      <c r="AC124" s="1132">
        <f t="shared" si="87"/>
        <v>12.5</v>
      </c>
      <c r="AD124" s="1133">
        <f t="shared" si="142"/>
        <v>7.5</v>
      </c>
      <c r="AE124" s="186">
        <f t="shared" si="133"/>
        <v>21.523005700832599</v>
      </c>
      <c r="AF124" s="40">
        <f t="shared" si="134"/>
        <v>1.6832722466096082</v>
      </c>
      <c r="AG124" s="13">
        <f t="shared" si="135"/>
        <v>35.057020457420933</v>
      </c>
      <c r="AH124" s="1132">
        <f t="shared" si="143"/>
        <v>1</v>
      </c>
      <c r="AI124" s="1132">
        <f t="shared" si="144"/>
        <v>1</v>
      </c>
      <c r="AJ124" s="187">
        <f t="shared" si="145"/>
        <v>1.6832722466096082</v>
      </c>
      <c r="AK124" s="1136">
        <f t="shared" si="136"/>
        <v>0.22705769277883975</v>
      </c>
      <c r="AR124" s="1132">
        <v>13</v>
      </c>
      <c r="AS124" s="44">
        <v>196</v>
      </c>
      <c r="AT124" s="1135">
        <f t="shared" si="88"/>
        <v>8.8357630099546558E-2</v>
      </c>
      <c r="AU124" s="1135">
        <f t="shared" ref="AU124:AU181" si="150">W124</f>
        <v>8.4133113939424561E-2</v>
      </c>
      <c r="AV124" s="1132">
        <f t="shared" si="89"/>
        <v>12.5</v>
      </c>
      <c r="AW124" s="1133">
        <f t="shared" si="146"/>
        <v>7.5</v>
      </c>
      <c r="AX124" s="186">
        <f t="shared" si="137"/>
        <v>21.523005700832599</v>
      </c>
      <c r="AY124" s="40">
        <f t="shared" si="138"/>
        <v>1.6832722466096082</v>
      </c>
      <c r="AZ124" s="13">
        <f t="shared" si="139"/>
        <v>35.057020457420933</v>
      </c>
      <c r="BA124" s="1132">
        <f t="shared" si="147"/>
        <v>1</v>
      </c>
      <c r="BB124" s="1132">
        <f t="shared" si="148"/>
        <v>1</v>
      </c>
      <c r="BC124" s="187">
        <f t="shared" si="149"/>
        <v>1.6832722466096082</v>
      </c>
      <c r="BD124" s="1136">
        <f t="shared" si="140"/>
        <v>0.22705769277883975</v>
      </c>
      <c r="BG124" s="1132"/>
      <c r="BH124" s="1132"/>
      <c r="BI124" s="1132"/>
    </row>
    <row r="125" spans="1:61" x14ac:dyDescent="0.2">
      <c r="A125" s="1135">
        <v>9.1384247010926317E-2</v>
      </c>
      <c r="B125" s="1135">
        <v>4.760377559454318E-2</v>
      </c>
      <c r="C125" s="1135"/>
      <c r="D125" s="1135">
        <v>6.146270538602816E-2</v>
      </c>
      <c r="E125" s="187">
        <v>7.9452943578030788E-2</v>
      </c>
      <c r="F125" s="187"/>
      <c r="G125" s="187">
        <v>7.0925227635870586E-2</v>
      </c>
      <c r="H125" s="187">
        <v>8.5411391715338486E-2</v>
      </c>
      <c r="I125" s="187"/>
      <c r="J125" s="187">
        <v>4.7509895565444937E-2</v>
      </c>
      <c r="K125" s="187">
        <v>9.0547219178388594E-2</v>
      </c>
      <c r="L125" s="187"/>
      <c r="M125" s="187">
        <v>5.835939666881762E-2</v>
      </c>
      <c r="N125" s="187">
        <v>0.1022020119494112</v>
      </c>
      <c r="O125" s="187"/>
      <c r="P125" s="187">
        <v>9.9285565853010876E-2</v>
      </c>
      <c r="Q125" s="187">
        <v>6.8084906242751098E-2</v>
      </c>
      <c r="R125" s="187"/>
      <c r="S125" s="187">
        <v>8.3491038512452626E-2</v>
      </c>
      <c r="T125" s="187">
        <v>9.127735827315582E-2</v>
      </c>
      <c r="U125" s="187"/>
      <c r="V125" s="1138">
        <f t="shared" si="130"/>
        <v>7.0925227635870586E-2</v>
      </c>
      <c r="W125" s="1138">
        <f t="shared" si="131"/>
        <v>8.5411391715338486E-2</v>
      </c>
      <c r="Y125" s="1132">
        <v>14</v>
      </c>
      <c r="Z125" s="44">
        <v>196</v>
      </c>
      <c r="AA125" s="1135">
        <f t="shared" si="141"/>
        <v>7.0925227635870586E-2</v>
      </c>
      <c r="AB125" s="1135">
        <f t="shared" si="132"/>
        <v>8.5411391715338486E-2</v>
      </c>
      <c r="AC125" s="1132">
        <f t="shared" ref="AC125:AC182" si="151">Y125-0.5</f>
        <v>13.5</v>
      </c>
      <c r="AD125" s="1133">
        <f t="shared" si="142"/>
        <v>22.5</v>
      </c>
      <c r="AE125" s="186">
        <f t="shared" si="133"/>
        <v>21.523005700832599</v>
      </c>
      <c r="AF125" s="40">
        <f t="shared" si="134"/>
        <v>1.7847831409310237</v>
      </c>
      <c r="AG125" s="13">
        <f t="shared" si="135"/>
        <v>31.442337923695746</v>
      </c>
      <c r="AH125" s="1132">
        <f t="shared" si="143"/>
        <v>1</v>
      </c>
      <c r="AI125" s="1132">
        <f t="shared" si="144"/>
        <v>1</v>
      </c>
      <c r="AJ125" s="187">
        <f t="shared" si="145"/>
        <v>1.7847831409310237</v>
      </c>
      <c r="AK125" s="1136">
        <f t="shared" si="136"/>
        <v>0.20566478428273485</v>
      </c>
      <c r="AR125" s="1132">
        <v>14</v>
      </c>
      <c r="AS125" s="44">
        <v>196</v>
      </c>
      <c r="AT125" s="1135">
        <f t="shared" ref="AT125:AT182" si="152">V125</f>
        <v>7.0925227635870586E-2</v>
      </c>
      <c r="AU125" s="1135">
        <f t="shared" si="150"/>
        <v>8.5411391715338486E-2</v>
      </c>
      <c r="AV125" s="1132">
        <f t="shared" ref="AV125:AV182" si="153">AR125-0.5</f>
        <v>13.5</v>
      </c>
      <c r="AW125" s="1133">
        <f t="shared" si="146"/>
        <v>22.5</v>
      </c>
      <c r="AX125" s="186">
        <f t="shared" si="137"/>
        <v>21.523005700832599</v>
      </c>
      <c r="AY125" s="40">
        <f t="shared" si="138"/>
        <v>1.7847831409310237</v>
      </c>
      <c r="AZ125" s="13">
        <f t="shared" si="139"/>
        <v>31.442337923695746</v>
      </c>
      <c r="BA125" s="1132">
        <f t="shared" si="147"/>
        <v>1</v>
      </c>
      <c r="BB125" s="1132">
        <f t="shared" si="148"/>
        <v>1</v>
      </c>
      <c r="BC125" s="187">
        <f t="shared" si="149"/>
        <v>1.7847831409310237</v>
      </c>
      <c r="BD125" s="1136">
        <f t="shared" si="140"/>
        <v>0.20566478428273485</v>
      </c>
      <c r="BG125" s="1132"/>
      <c r="BH125" s="1132"/>
      <c r="BI125" s="1132"/>
    </row>
    <row r="126" spans="1:61" x14ac:dyDescent="0.2">
      <c r="A126" s="1135">
        <v>6.9295289050429226E-2</v>
      </c>
      <c r="B126" s="1135">
        <v>4.2929604307920005E-2</v>
      </c>
      <c r="C126" s="1135"/>
      <c r="D126" s="1135">
        <v>5.4055995138116764E-2</v>
      </c>
      <c r="E126" s="187">
        <v>6.2543097693312691E-2</v>
      </c>
      <c r="F126" s="187"/>
      <c r="G126" s="187">
        <v>3.5372573466514096E-2</v>
      </c>
      <c r="H126" s="187">
        <v>7.1931908286186147E-2</v>
      </c>
      <c r="I126" s="187"/>
      <c r="J126" s="187">
        <v>3.3477201064472134E-2</v>
      </c>
      <c r="K126" s="187">
        <v>7.0532459690945321E-2</v>
      </c>
      <c r="L126" s="187"/>
      <c r="M126" s="187">
        <v>4.035943316436913E-2</v>
      </c>
      <c r="N126" s="187">
        <v>8.2932460418599085E-2</v>
      </c>
      <c r="O126" s="187"/>
      <c r="P126" s="187">
        <v>6.3618570124489154E-2</v>
      </c>
      <c r="Q126" s="187">
        <v>4.6149715260380197E-2</v>
      </c>
      <c r="R126" s="187"/>
      <c r="S126" s="187">
        <v>3.0785073433824715E-2</v>
      </c>
      <c r="T126" s="187">
        <v>6.2087466365145977E-2</v>
      </c>
      <c r="U126" s="187"/>
      <c r="V126" s="1138">
        <f t="shared" si="130"/>
        <v>3.5372573466514096E-2</v>
      </c>
      <c r="W126" s="1138">
        <f t="shared" si="131"/>
        <v>7.1931908286186147E-2</v>
      </c>
      <c r="Y126" s="1132">
        <v>15</v>
      </c>
      <c r="Z126" s="44">
        <v>196</v>
      </c>
      <c r="AA126" s="1135">
        <f t="shared" si="141"/>
        <v>3.5372573466514096E-2</v>
      </c>
      <c r="AB126" s="1135">
        <f t="shared" si="132"/>
        <v>7.1931908286186147E-2</v>
      </c>
      <c r="AC126" s="1132">
        <f t="shared" si="151"/>
        <v>14.5</v>
      </c>
      <c r="AD126" s="1133">
        <f t="shared" si="142"/>
        <v>37.5</v>
      </c>
      <c r="AE126" s="186">
        <f t="shared" si="133"/>
        <v>21.523005700832599</v>
      </c>
      <c r="AF126" s="40">
        <f t="shared" si="134"/>
        <v>1.9884447048100071</v>
      </c>
      <c r="AG126" s="13">
        <f t="shared" si="135"/>
        <v>24.817630144184246</v>
      </c>
      <c r="AH126" s="1132">
        <f t="shared" si="143"/>
        <v>1</v>
      </c>
      <c r="AI126" s="1132">
        <f t="shared" si="144"/>
        <v>1</v>
      </c>
      <c r="AJ126" s="187">
        <f t="shared" si="145"/>
        <v>1.9884447048100071</v>
      </c>
      <c r="AK126" s="1136">
        <f t="shared" si="136"/>
        <v>0.13636516192658857</v>
      </c>
      <c r="AR126" s="1132">
        <v>15</v>
      </c>
      <c r="AS126" s="44">
        <v>196</v>
      </c>
      <c r="AT126" s="1135">
        <f t="shared" si="152"/>
        <v>3.5372573466514096E-2</v>
      </c>
      <c r="AU126" s="1135">
        <f t="shared" si="150"/>
        <v>7.1931908286186147E-2</v>
      </c>
      <c r="AV126" s="1132">
        <f t="shared" si="153"/>
        <v>14.5</v>
      </c>
      <c r="AW126" s="1133">
        <f t="shared" si="146"/>
        <v>37.5</v>
      </c>
      <c r="AX126" s="186">
        <f t="shared" si="137"/>
        <v>21.523005700832599</v>
      </c>
      <c r="AY126" s="40">
        <f t="shared" si="138"/>
        <v>1.9884447048100071</v>
      </c>
      <c r="AZ126" s="13">
        <f t="shared" si="139"/>
        <v>24.817630144184246</v>
      </c>
      <c r="BA126" s="1132">
        <f t="shared" si="147"/>
        <v>1</v>
      </c>
      <c r="BB126" s="1132">
        <f t="shared" si="148"/>
        <v>1</v>
      </c>
      <c r="BC126" s="187">
        <f t="shared" si="149"/>
        <v>1.9884447048100071</v>
      </c>
      <c r="BD126" s="1136">
        <f t="shared" si="140"/>
        <v>0.13636516192658857</v>
      </c>
      <c r="BG126" s="1132"/>
      <c r="BH126" s="1132"/>
      <c r="BI126" s="1132"/>
    </row>
    <row r="127" spans="1:61" x14ac:dyDescent="0.2">
      <c r="A127" s="1135">
        <v>3.6385898149513346E-2</v>
      </c>
      <c r="B127" s="1135">
        <v>3.2428370191778827E-2</v>
      </c>
      <c r="C127" s="1135"/>
      <c r="D127" s="1135">
        <v>1.9171109691364721E-2</v>
      </c>
      <c r="E127" s="187">
        <v>4.444174771414109E-2</v>
      </c>
      <c r="F127" s="187"/>
      <c r="G127" s="187">
        <v>1.0447771057726129E-2</v>
      </c>
      <c r="H127" s="187">
        <v>4.5000872905844917E-2</v>
      </c>
      <c r="I127" s="187"/>
      <c r="J127" s="187">
        <v>2.0450835252812136E-2</v>
      </c>
      <c r="K127" s="187">
        <v>4.1404834850280667E-2</v>
      </c>
      <c r="L127" s="187"/>
      <c r="M127" s="187">
        <v>1.4825955332593435E-2</v>
      </c>
      <c r="N127" s="187">
        <v>4.5328734967266138E-2</v>
      </c>
      <c r="O127" s="187"/>
      <c r="P127" s="187">
        <v>1.5043454857500867E-2</v>
      </c>
      <c r="Q127" s="187">
        <v>3.282820503427189E-2</v>
      </c>
      <c r="R127" s="187"/>
      <c r="S127" s="187">
        <v>2.255543824906382E-3</v>
      </c>
      <c r="T127" s="187">
        <v>1.326826542845284E-2</v>
      </c>
      <c r="U127" s="187"/>
      <c r="V127" s="1138">
        <f t="shared" si="130"/>
        <v>1.0447771057726129E-2</v>
      </c>
      <c r="W127" s="1138">
        <f t="shared" si="131"/>
        <v>4.5000872905844917E-2</v>
      </c>
      <c r="Y127" s="1132">
        <v>16</v>
      </c>
      <c r="Z127" s="44">
        <v>196</v>
      </c>
      <c r="AA127" s="1135">
        <f t="shared" si="141"/>
        <v>1.0447771057726129E-2</v>
      </c>
      <c r="AB127" s="1135">
        <f t="shared" si="132"/>
        <v>4.5000872905844917E-2</v>
      </c>
      <c r="AC127" s="1132">
        <f t="shared" si="151"/>
        <v>15.5</v>
      </c>
      <c r="AD127" s="1133">
        <f t="shared" si="142"/>
        <v>52.5</v>
      </c>
      <c r="AE127" s="186">
        <f t="shared" si="133"/>
        <v>21.523005700832599</v>
      </c>
      <c r="AF127" s="40">
        <f t="shared" si="134"/>
        <v>2.4826918378958873</v>
      </c>
      <c r="AG127" s="13">
        <f t="shared" si="135"/>
        <v>15.998243964698091</v>
      </c>
      <c r="AH127" s="1132">
        <f t="shared" si="143"/>
        <v>1</v>
      </c>
      <c r="AI127" s="1132">
        <f t="shared" si="144"/>
        <v>1</v>
      </c>
      <c r="AJ127" s="187">
        <f t="shared" si="145"/>
        <v>2.4826918378958873</v>
      </c>
      <c r="AK127" s="1136">
        <f t="shared" si="136"/>
        <v>6.6973178950149939E-2</v>
      </c>
      <c r="AR127" s="1132">
        <v>16</v>
      </c>
      <c r="AS127" s="44">
        <v>196</v>
      </c>
      <c r="AT127" s="1135">
        <f t="shared" si="152"/>
        <v>1.0447771057726129E-2</v>
      </c>
      <c r="AU127" s="1135">
        <f t="shared" si="150"/>
        <v>4.5000872905844917E-2</v>
      </c>
      <c r="AV127" s="1132">
        <f t="shared" si="153"/>
        <v>15.5</v>
      </c>
      <c r="AW127" s="1133">
        <f t="shared" si="146"/>
        <v>52.5</v>
      </c>
      <c r="AX127" s="186">
        <f t="shared" si="137"/>
        <v>21.523005700832599</v>
      </c>
      <c r="AY127" s="40">
        <f t="shared" si="138"/>
        <v>2.4826918378958873</v>
      </c>
      <c r="AZ127" s="13">
        <f t="shared" si="139"/>
        <v>15.998243964698091</v>
      </c>
      <c r="BA127" s="1132">
        <f t="shared" si="147"/>
        <v>1</v>
      </c>
      <c r="BB127" s="1132">
        <f t="shared" si="148"/>
        <v>1</v>
      </c>
      <c r="BC127" s="187">
        <f t="shared" si="149"/>
        <v>2.4826918378958873</v>
      </c>
      <c r="BD127" s="1136">
        <f t="shared" si="140"/>
        <v>6.6973178950149939E-2</v>
      </c>
      <c r="BG127" s="1132"/>
      <c r="BH127" s="1132"/>
      <c r="BI127" s="1132"/>
    </row>
    <row r="128" spans="1:61" x14ac:dyDescent="0.2">
      <c r="A128" s="1135">
        <v>7.4419674720579768E-3</v>
      </c>
      <c r="B128" s="1135">
        <v>1.8246809999759472E-2</v>
      </c>
      <c r="C128" s="1135"/>
      <c r="D128" s="1135">
        <v>2.1623022445083867E-3</v>
      </c>
      <c r="E128" s="187">
        <v>7.3874272627218393E-3</v>
      </c>
      <c r="F128" s="187"/>
      <c r="G128" s="187">
        <v>7.9117423543863957E-4</v>
      </c>
      <c r="H128" s="187">
        <v>7.6106238020925837E-3</v>
      </c>
      <c r="I128" s="187"/>
      <c r="J128" s="187">
        <v>1.0342822640159229E-2</v>
      </c>
      <c r="K128" s="187">
        <v>1.8751257910861647E-2</v>
      </c>
      <c r="L128" s="187"/>
      <c r="M128" s="187">
        <v>5.9870898342479753E-4</v>
      </c>
      <c r="N128" s="187">
        <v>4.7937171983674668E-3</v>
      </c>
      <c r="O128" s="187"/>
      <c r="P128" s="187">
        <v>1.0600220296694581E-4</v>
      </c>
      <c r="Q128" s="187">
        <v>2.5068088539480426E-3</v>
      </c>
      <c r="R128" s="187"/>
      <c r="S128" s="187">
        <v>3.5383188238318219E-5</v>
      </c>
      <c r="T128" s="187">
        <v>9.907292706729102E-5</v>
      </c>
      <c r="U128" s="187"/>
      <c r="V128" s="1138">
        <f t="shared" si="130"/>
        <v>7.9117423543863957E-4</v>
      </c>
      <c r="W128" s="1138">
        <f t="shared" si="131"/>
        <v>7.6106238020925837E-3</v>
      </c>
      <c r="Y128" s="1132">
        <v>17</v>
      </c>
      <c r="Z128" s="44">
        <v>196</v>
      </c>
      <c r="AA128" s="1135">
        <f t="shared" si="141"/>
        <v>7.9117423543863957E-4</v>
      </c>
      <c r="AB128" s="1135">
        <f t="shared" si="132"/>
        <v>7.6106238020925837E-3</v>
      </c>
      <c r="AC128" s="1132">
        <f t="shared" si="151"/>
        <v>16.5</v>
      </c>
      <c r="AD128" s="1133">
        <f t="shared" si="142"/>
        <v>67.5</v>
      </c>
      <c r="AE128" s="186">
        <f t="shared" si="133"/>
        <v>21.523005700832599</v>
      </c>
      <c r="AF128" s="40">
        <f t="shared" si="134"/>
        <v>4.9493869931430838</v>
      </c>
      <c r="AG128" s="13">
        <f t="shared" si="135"/>
        <v>5.6867589701559078</v>
      </c>
      <c r="AH128" s="1132">
        <f t="shared" si="143"/>
        <v>1</v>
      </c>
      <c r="AI128" s="1132">
        <f t="shared" si="144"/>
        <v>1</v>
      </c>
      <c r="AJ128" s="187">
        <f t="shared" si="145"/>
        <v>4.9493869931430838</v>
      </c>
      <c r="AK128" s="1136">
        <f t="shared" si="136"/>
        <v>1.0832840145173328E-2</v>
      </c>
      <c r="AR128" s="1132">
        <v>17</v>
      </c>
      <c r="AS128" s="44">
        <v>196</v>
      </c>
      <c r="AT128" s="1135">
        <f t="shared" si="152"/>
        <v>7.9117423543863957E-4</v>
      </c>
      <c r="AU128" s="1135">
        <f t="shared" si="150"/>
        <v>7.6106238020925837E-3</v>
      </c>
      <c r="AV128" s="1132">
        <f t="shared" si="153"/>
        <v>16.5</v>
      </c>
      <c r="AW128" s="1133">
        <f t="shared" si="146"/>
        <v>67.5</v>
      </c>
      <c r="AX128" s="186">
        <f t="shared" si="137"/>
        <v>21.523005700832599</v>
      </c>
      <c r="AY128" s="40">
        <f t="shared" si="138"/>
        <v>4.9493869931430838</v>
      </c>
      <c r="AZ128" s="13">
        <f t="shared" si="139"/>
        <v>5.6867589701559078</v>
      </c>
      <c r="BA128" s="1132">
        <f t="shared" si="147"/>
        <v>1</v>
      </c>
      <c r="BB128" s="1132">
        <f t="shared" si="148"/>
        <v>1</v>
      </c>
      <c r="BC128" s="187">
        <f t="shared" si="149"/>
        <v>4.9493869931430838</v>
      </c>
      <c r="BD128" s="1136">
        <f t="shared" si="140"/>
        <v>1.0832840145173328E-2</v>
      </c>
      <c r="BG128" s="1132"/>
      <c r="BH128" s="1132"/>
      <c r="BI128" s="1132"/>
    </row>
    <row r="129" spans="1:61" x14ac:dyDescent="0.2">
      <c r="A129" s="1135">
        <v>2.2391239696398485E-5</v>
      </c>
      <c r="B129" s="1135">
        <v>5.5838153992893733E-4</v>
      </c>
      <c r="C129" s="1135"/>
      <c r="D129" s="1135">
        <v>2.6278466538128253E-6</v>
      </c>
      <c r="E129" s="187">
        <v>3.1534159845753902E-5</v>
      </c>
      <c r="F129" s="187"/>
      <c r="G129" s="187">
        <v>0</v>
      </c>
      <c r="H129" s="187">
        <v>1.7712856017282976E-5</v>
      </c>
      <c r="I129" s="187"/>
      <c r="J129" s="187">
        <v>9.8396582955028811E-4</v>
      </c>
      <c r="K129" s="187">
        <v>5.344723483239033E-3</v>
      </c>
      <c r="L129" s="187"/>
      <c r="M129" s="187">
        <v>0</v>
      </c>
      <c r="N129" s="187">
        <v>0</v>
      </c>
      <c r="O129" s="187"/>
      <c r="P129" s="187">
        <v>0</v>
      </c>
      <c r="Q129" s="187">
        <v>0</v>
      </c>
      <c r="R129" s="187"/>
      <c r="S129" s="187">
        <v>0</v>
      </c>
      <c r="T129" s="187">
        <v>0</v>
      </c>
      <c r="U129" s="187"/>
      <c r="V129" s="1138">
        <f t="shared" si="130"/>
        <v>0</v>
      </c>
      <c r="W129" s="1138">
        <f t="shared" si="131"/>
        <v>1.7712856017282976E-5</v>
      </c>
      <c r="Y129" s="1132">
        <v>18</v>
      </c>
      <c r="Z129" s="44">
        <v>196</v>
      </c>
      <c r="AA129" s="1135">
        <f t="shared" si="141"/>
        <v>0</v>
      </c>
      <c r="AB129" s="1135">
        <f t="shared" si="132"/>
        <v>1.7712856017282976E-5</v>
      </c>
      <c r="AC129" s="1132">
        <f t="shared" si="151"/>
        <v>17.5</v>
      </c>
      <c r="AD129" s="1133">
        <f t="shared" si="142"/>
        <v>82.5</v>
      </c>
      <c r="AE129" s="186">
        <f t="shared" si="133"/>
        <v>21.523005700832599</v>
      </c>
      <c r="AF129" s="40">
        <f t="shared" si="134"/>
        <v>-2.7050358024891001</v>
      </c>
      <c r="AG129" s="13">
        <f t="shared" si="135"/>
        <v>-5.6121976902593049</v>
      </c>
      <c r="AH129" s="1132">
        <f t="shared" si="143"/>
        <v>0</v>
      </c>
      <c r="AI129" s="1132">
        <f t="shared" si="144"/>
        <v>0</v>
      </c>
      <c r="AJ129" s="187">
        <f t="shared" si="145"/>
        <v>0</v>
      </c>
      <c r="AK129" s="1136">
        <f t="shared" si="136"/>
        <v>1.6055481758957574E-5</v>
      </c>
      <c r="AR129" s="1132">
        <v>18</v>
      </c>
      <c r="AS129" s="44">
        <v>196</v>
      </c>
      <c r="AT129" s="1135">
        <f t="shared" si="152"/>
        <v>0</v>
      </c>
      <c r="AU129" s="1135">
        <f t="shared" si="150"/>
        <v>1.7712856017282976E-5</v>
      </c>
      <c r="AV129" s="1132">
        <f t="shared" si="153"/>
        <v>17.5</v>
      </c>
      <c r="AW129" s="1133">
        <f t="shared" si="146"/>
        <v>82.5</v>
      </c>
      <c r="AX129" s="186">
        <f t="shared" si="137"/>
        <v>21.523005700832599</v>
      </c>
      <c r="AY129" s="40">
        <f t="shared" si="138"/>
        <v>-2.7050358024891001</v>
      </c>
      <c r="AZ129" s="13">
        <f t="shared" si="139"/>
        <v>-5.6121976902593049</v>
      </c>
      <c r="BA129" s="1132">
        <f t="shared" si="147"/>
        <v>0</v>
      </c>
      <c r="BB129" s="1132">
        <f t="shared" si="148"/>
        <v>0</v>
      </c>
      <c r="BC129" s="187">
        <f t="shared" si="149"/>
        <v>0</v>
      </c>
      <c r="BD129" s="1136">
        <f t="shared" si="140"/>
        <v>1.6055481758957574E-5</v>
      </c>
      <c r="BG129" s="1132"/>
      <c r="BH129" s="1132"/>
      <c r="BI129" s="1132"/>
    </row>
    <row r="130" spans="1:61" x14ac:dyDescent="0.2">
      <c r="A130" s="1135">
        <v>0</v>
      </c>
      <c r="B130" s="1135">
        <v>0</v>
      </c>
      <c r="C130" s="1135"/>
      <c r="D130" s="1135">
        <v>0</v>
      </c>
      <c r="E130" s="187">
        <v>0</v>
      </c>
      <c r="F130" s="187"/>
      <c r="G130" s="187">
        <v>0</v>
      </c>
      <c r="H130" s="187">
        <v>0</v>
      </c>
      <c r="I130" s="187"/>
      <c r="J130" s="187">
        <v>0</v>
      </c>
      <c r="K130" s="187">
        <v>0</v>
      </c>
      <c r="L130" s="187"/>
      <c r="M130" s="187">
        <v>0</v>
      </c>
      <c r="N130" s="187">
        <v>0</v>
      </c>
      <c r="O130" s="187"/>
      <c r="P130" s="187">
        <v>0</v>
      </c>
      <c r="Q130" s="187">
        <v>0</v>
      </c>
      <c r="R130" s="187"/>
      <c r="S130" s="187">
        <v>0</v>
      </c>
      <c r="T130" s="187">
        <v>0</v>
      </c>
      <c r="U130" s="187"/>
      <c r="V130" s="1138">
        <f t="shared" si="130"/>
        <v>0</v>
      </c>
      <c r="W130" s="1138">
        <f t="shared" si="131"/>
        <v>0</v>
      </c>
      <c r="Y130" s="1132">
        <v>19</v>
      </c>
      <c r="Z130" s="44">
        <v>196</v>
      </c>
      <c r="AA130" s="1135">
        <f t="shared" si="141"/>
        <v>0</v>
      </c>
      <c r="AB130" s="1135">
        <f t="shared" si="132"/>
        <v>0</v>
      </c>
      <c r="AC130" s="1132">
        <f t="shared" si="151"/>
        <v>18.5</v>
      </c>
      <c r="AD130" s="1133">
        <f t="shared" si="142"/>
        <v>97.5</v>
      </c>
      <c r="AE130" s="186">
        <f t="shared" si="133"/>
        <v>21.523005700832599</v>
      </c>
      <c r="AF130" s="40">
        <f t="shared" si="134"/>
        <v>-8.2925482113017257E-2</v>
      </c>
      <c r="AG130" s="13">
        <f t="shared" si="135"/>
        <v>-17.555489322151722</v>
      </c>
      <c r="AH130" s="1132">
        <f t="shared" si="143"/>
        <v>0</v>
      </c>
      <c r="AI130" s="1132">
        <f t="shared" si="144"/>
        <v>0</v>
      </c>
      <c r="AJ130" s="187">
        <f t="shared" si="145"/>
        <v>0</v>
      </c>
      <c r="AK130" s="1136">
        <f t="shared" si="136"/>
        <v>0</v>
      </c>
      <c r="AR130" s="1132">
        <v>19</v>
      </c>
      <c r="AS130" s="44">
        <v>196</v>
      </c>
      <c r="AT130" s="1135">
        <f t="shared" si="152"/>
        <v>0</v>
      </c>
      <c r="AU130" s="1135">
        <f t="shared" si="150"/>
        <v>0</v>
      </c>
      <c r="AV130" s="1132">
        <f t="shared" si="153"/>
        <v>18.5</v>
      </c>
      <c r="AW130" s="1133">
        <f t="shared" si="146"/>
        <v>97.5</v>
      </c>
      <c r="AX130" s="186">
        <f t="shared" si="137"/>
        <v>21.523005700832599</v>
      </c>
      <c r="AY130" s="40">
        <f t="shared" si="138"/>
        <v>-8.2925482113017257E-2</v>
      </c>
      <c r="AZ130" s="13">
        <f t="shared" si="139"/>
        <v>-17.555489322151722</v>
      </c>
      <c r="BA130" s="1132">
        <f t="shared" si="147"/>
        <v>0</v>
      </c>
      <c r="BB130" s="1132">
        <f t="shared" si="148"/>
        <v>0</v>
      </c>
      <c r="BC130" s="187">
        <f t="shared" si="149"/>
        <v>0</v>
      </c>
      <c r="BD130" s="1136">
        <f t="shared" si="140"/>
        <v>0</v>
      </c>
      <c r="BG130" s="1132"/>
      <c r="BH130" s="1132"/>
      <c r="BI130" s="1132"/>
    </row>
    <row r="131" spans="1:61" x14ac:dyDescent="0.2">
      <c r="A131" s="1135">
        <v>0</v>
      </c>
      <c r="B131" s="1135">
        <v>0</v>
      </c>
      <c r="C131" s="1135"/>
      <c r="D131" s="1135">
        <v>0</v>
      </c>
      <c r="E131" s="187">
        <v>0</v>
      </c>
      <c r="F131" s="187"/>
      <c r="G131" s="187">
        <v>0</v>
      </c>
      <c r="H131" s="187">
        <v>0</v>
      </c>
      <c r="I131" s="187"/>
      <c r="J131" s="187">
        <v>0</v>
      </c>
      <c r="K131" s="187">
        <v>0</v>
      </c>
      <c r="L131" s="187"/>
      <c r="M131" s="187">
        <v>0</v>
      </c>
      <c r="N131" s="187">
        <v>0</v>
      </c>
      <c r="O131" s="187"/>
      <c r="P131" s="187">
        <v>0</v>
      </c>
      <c r="Q131" s="187">
        <v>0</v>
      </c>
      <c r="R131" s="187"/>
      <c r="S131" s="187">
        <v>0</v>
      </c>
      <c r="T131" s="187">
        <v>0</v>
      </c>
      <c r="U131" s="187"/>
      <c r="V131" s="1138">
        <f t="shared" si="130"/>
        <v>0</v>
      </c>
      <c r="W131" s="1138">
        <f t="shared" si="131"/>
        <v>0</v>
      </c>
      <c r="Y131" s="1132">
        <v>20</v>
      </c>
      <c r="Z131" s="44">
        <v>196</v>
      </c>
      <c r="AA131" s="1135">
        <f t="shared" si="141"/>
        <v>0</v>
      </c>
      <c r="AB131" s="1135">
        <f t="shared" si="132"/>
        <v>0</v>
      </c>
      <c r="AC131" s="1132">
        <f t="shared" si="151"/>
        <v>19.5</v>
      </c>
      <c r="AD131" s="1133">
        <f t="shared" si="142"/>
        <v>112.5</v>
      </c>
      <c r="AE131" s="186">
        <f t="shared" si="133"/>
        <v>21.523005700832599</v>
      </c>
      <c r="AF131" s="40">
        <f t="shared" si="134"/>
        <v>0.42866149536662801</v>
      </c>
      <c r="AG131" s="13">
        <f t="shared" si="135"/>
        <v>-29.90235857706833</v>
      </c>
      <c r="AH131" s="1132">
        <f t="shared" si="143"/>
        <v>0</v>
      </c>
      <c r="AI131" s="1132">
        <f t="shared" si="144"/>
        <v>1</v>
      </c>
      <c r="AJ131" s="187">
        <f t="shared" si="145"/>
        <v>0</v>
      </c>
      <c r="AK131" s="1136">
        <f t="shared" si="136"/>
        <v>0</v>
      </c>
      <c r="AR131" s="1132">
        <v>20</v>
      </c>
      <c r="AS131" s="44">
        <v>196</v>
      </c>
      <c r="AT131" s="1135">
        <f t="shared" si="152"/>
        <v>0</v>
      </c>
      <c r="AU131" s="1135">
        <f t="shared" si="150"/>
        <v>0</v>
      </c>
      <c r="AV131" s="1132">
        <f t="shared" si="153"/>
        <v>19.5</v>
      </c>
      <c r="AW131" s="1133">
        <f t="shared" si="146"/>
        <v>112.5</v>
      </c>
      <c r="AX131" s="186">
        <f t="shared" si="137"/>
        <v>21.523005700832599</v>
      </c>
      <c r="AY131" s="40">
        <f t="shared" si="138"/>
        <v>0.42866149536662801</v>
      </c>
      <c r="AZ131" s="13">
        <f t="shared" si="139"/>
        <v>-29.90235857706833</v>
      </c>
      <c r="BA131" s="1132">
        <f t="shared" si="147"/>
        <v>0</v>
      </c>
      <c r="BB131" s="1132">
        <f t="shared" si="148"/>
        <v>1</v>
      </c>
      <c r="BC131" s="187">
        <f t="shared" si="149"/>
        <v>0</v>
      </c>
      <c r="BD131" s="1136">
        <f t="shared" si="140"/>
        <v>0</v>
      </c>
      <c r="BG131" s="1132"/>
      <c r="BH131" s="1132"/>
      <c r="BI131" s="1132"/>
    </row>
    <row r="132" spans="1:61" x14ac:dyDescent="0.2">
      <c r="A132" s="1135"/>
      <c r="B132" s="1135"/>
      <c r="C132" s="1135"/>
      <c r="D132" s="1135"/>
      <c r="E132" s="187"/>
      <c r="F132" s="187"/>
      <c r="G132" s="187"/>
      <c r="H132" s="187"/>
      <c r="I132" s="187"/>
      <c r="J132" s="187"/>
      <c r="K132" s="187"/>
      <c r="L132" s="187"/>
      <c r="M132" s="187"/>
      <c r="N132" s="187"/>
      <c r="O132" s="187"/>
      <c r="P132" s="187"/>
      <c r="Q132" s="187"/>
      <c r="R132" s="187"/>
      <c r="S132" s="187"/>
      <c r="T132" s="187"/>
      <c r="U132" s="187"/>
      <c r="V132" s="1138"/>
      <c r="W132" s="1138"/>
      <c r="Y132" s="11"/>
      <c r="Z132" s="1139"/>
      <c r="AA132" s="11"/>
      <c r="AC132" s="1132">
        <f t="shared" si="151"/>
        <v>-0.5</v>
      </c>
      <c r="AF132" s="187"/>
      <c r="AK132" s="187">
        <f>SUM(AK116:AK131)</f>
        <v>1.260332708090327</v>
      </c>
      <c r="AR132" s="11"/>
      <c r="AS132" s="1139"/>
      <c r="AT132" s="1135"/>
      <c r="AU132" s="1135"/>
      <c r="AV132" s="1132">
        <f t="shared" si="153"/>
        <v>-0.5</v>
      </c>
      <c r="AY132" s="40"/>
      <c r="BD132" s="187">
        <f>SUM(BD116:BD131)</f>
        <v>1.260332708090327</v>
      </c>
      <c r="BG132" s="1132"/>
      <c r="BH132" s="1132"/>
      <c r="BI132" s="1132"/>
    </row>
    <row r="133" spans="1:61" x14ac:dyDescent="0.2">
      <c r="A133" s="1135" t="s">
        <v>1263</v>
      </c>
      <c r="B133" s="1135"/>
      <c r="C133" s="1135"/>
      <c r="D133" s="1135" t="s">
        <v>1263</v>
      </c>
      <c r="E133" s="187"/>
      <c r="F133" s="187"/>
      <c r="G133" s="187" t="s">
        <v>1263</v>
      </c>
      <c r="H133" s="187"/>
      <c r="I133" s="187"/>
      <c r="J133" s="187" t="s">
        <v>1263</v>
      </c>
      <c r="K133" s="187"/>
      <c r="L133" s="187"/>
      <c r="M133" s="187" t="s">
        <v>1263</v>
      </c>
      <c r="N133" s="187"/>
      <c r="O133" s="187"/>
      <c r="P133" s="187" t="s">
        <v>1263</v>
      </c>
      <c r="Q133" s="187"/>
      <c r="R133" s="187"/>
      <c r="S133" s="187" t="s">
        <v>1263</v>
      </c>
      <c r="T133" s="187"/>
      <c r="U133" s="187"/>
      <c r="V133" s="1138"/>
      <c r="W133" s="1138"/>
      <c r="Z133" s="44"/>
      <c r="AC133" s="1132">
        <f t="shared" si="151"/>
        <v>-0.5</v>
      </c>
      <c r="AS133" s="44"/>
      <c r="AT133" s="1135"/>
      <c r="AU133" s="1135"/>
      <c r="AV133" s="1132">
        <f t="shared" si="153"/>
        <v>-0.5</v>
      </c>
      <c r="AY133" s="40"/>
      <c r="BG133" s="1132"/>
      <c r="BH133" s="1132"/>
      <c r="BI133" s="1132"/>
    </row>
    <row r="134" spans="1:61" x14ac:dyDescent="0.2">
      <c r="A134" s="1135">
        <v>0</v>
      </c>
      <c r="B134" s="1135">
        <v>0</v>
      </c>
      <c r="C134" s="1135"/>
      <c r="D134" s="1135">
        <v>0</v>
      </c>
      <c r="E134" s="187">
        <v>0</v>
      </c>
      <c r="F134" s="187"/>
      <c r="G134" s="187">
        <v>0</v>
      </c>
      <c r="H134" s="187">
        <v>0</v>
      </c>
      <c r="I134" s="187"/>
      <c r="J134" s="187">
        <v>0</v>
      </c>
      <c r="K134" s="187">
        <v>0</v>
      </c>
      <c r="L134" s="187"/>
      <c r="M134" s="187">
        <v>0</v>
      </c>
      <c r="N134" s="187">
        <v>0</v>
      </c>
      <c r="O134" s="187"/>
      <c r="P134" s="187">
        <v>0</v>
      </c>
      <c r="Q134" s="187">
        <v>0</v>
      </c>
      <c r="R134" s="187"/>
      <c r="S134" s="187">
        <v>0</v>
      </c>
      <c r="T134" s="187">
        <v>0</v>
      </c>
      <c r="U134" s="187"/>
      <c r="V134" s="1138">
        <f t="shared" ref="V134:V149" si="154">CHOOSE($B$1,A134,D134,G134,J134,M134,P134,S134)</f>
        <v>0</v>
      </c>
      <c r="W134" s="1138">
        <f t="shared" ref="W134:W149" si="155">CHOOSE($B$1,B134,E134,H134,K134,N134,Q134,T134)</f>
        <v>0</v>
      </c>
      <c r="Y134" s="1132">
        <v>5</v>
      </c>
      <c r="Z134" s="44">
        <v>227</v>
      </c>
      <c r="AA134" s="1135">
        <f>V134</f>
        <v>0</v>
      </c>
      <c r="AB134" s="1135">
        <f t="shared" ref="AB134:AB149" si="156">W134</f>
        <v>0</v>
      </c>
      <c r="AC134" s="1132">
        <f t="shared" si="151"/>
        <v>4.5</v>
      </c>
      <c r="AD134" s="1133">
        <f>15*(AC134-12)</f>
        <v>-112.5</v>
      </c>
      <c r="AE134" s="186">
        <f t="shared" ref="AE134:AE149" si="157">23.45*SIN(360*(284+Z134)/365/57.3)</f>
        <v>13.795853096269607</v>
      </c>
      <c r="AF134" s="40">
        <f t="shared" ref="AF134:AF149" si="158">((SIN(AE134/57.3)*SIN($B$2/57.3)*COS($Z$2/57.3))-SIN(AE134/57.3)*COS($B$2/57.3)*SIN($Z$2/57.3)*COS($Z$3/57.3)+COS(AE134/57.3)*COS($B$2/57.3)*COS($Z$2/57.3)*COS(AD134/57.3)+COS(AE134/57.3)*SIN($B$2/57.3)*SIN($Z$2/57.3)*COS($Z$3/57.3)*COS(AD134/57.3)+COS(AE134/57.3)*SIN($Z$2/57.3)*SIN($Z$3/57.3)*SIN(AD134/57.3))/(COS($B$2/57.3)*COS(AE134/57.3)*COS(AD134/57.3)+SIN($B$2/57.3)*SIN(AE134/57.3))</f>
        <v>0.99658469037765407</v>
      </c>
      <c r="AG134" s="13">
        <f t="shared" ref="AG134:AG149" si="159">57.3*ASIN(SIN($B$2/57.3)*SIN(AE134/57.3)+COS($B$2/57.3)*COS(AD134/57.3)*COS(AE134/57.6))</f>
        <v>-26.204228155255571</v>
      </c>
      <c r="AH134" s="1132">
        <f>IF(AG134&lt;0,0,1)</f>
        <v>0</v>
      </c>
      <c r="AI134" s="1132">
        <f>IF(AF134&lt;0,0,1)</f>
        <v>1</v>
      </c>
      <c r="AJ134" s="187">
        <f>AF134*AI134*AH134</f>
        <v>0</v>
      </c>
      <c r="AK134" s="1136">
        <f t="shared" ref="AK134:AK149" si="160">AA134*AJ134+((1+COS($Z$2/57.3))/2)*AB134+((1-COS($Z$2/57.3))/2)*(AA134+AB134)*0.2</f>
        <v>0</v>
      </c>
      <c r="AR134" s="1132">
        <v>5</v>
      </c>
      <c r="AS134" s="44">
        <v>227</v>
      </c>
      <c r="AT134" s="1135">
        <f t="shared" si="152"/>
        <v>0</v>
      </c>
      <c r="AU134" s="1135">
        <f t="shared" si="150"/>
        <v>0</v>
      </c>
      <c r="AV134" s="1132">
        <f t="shared" si="153"/>
        <v>4.5</v>
      </c>
      <c r="AW134" s="1133">
        <f>15*(AV134-12)</f>
        <v>-112.5</v>
      </c>
      <c r="AX134" s="186">
        <f t="shared" ref="AX134:AX149" si="161">23.45*SIN(360*(284+AS134)/365/57.3)</f>
        <v>13.795853096269607</v>
      </c>
      <c r="AY134" s="40">
        <f t="shared" ref="AY134:AY149" si="162">((SIN(AX134/57.3)*SIN($B$2/57.3)*COS($AS$2/57.3))-SIN(AX134/57.3)*COS($B$2/57.3)*SIN($AS$2/57.3)*COS($AS$3/57.3)+COS(AX134/57.3)*COS($B$2/57.3)*COS($AS$2/57.3)*COS(AW134/57.3)+COS(AX134/57.3)*SIN($B$2/57.3)*SIN($AS$2/57.3)*COS($AS$3/57.3)*COS(AW134/57.3)+COS(AX134/57.3)*SIN($AS$2/57.3)*SIN($AS$3/57.3)*SIN(AW134/57.3))/(COS($B$2/57.3)*COS(AX134/57.3)*COS(AW134/57.3)+SIN($B$2/57.3)*SIN(AX134/57.3))</f>
        <v>0.99658469037765407</v>
      </c>
      <c r="AZ134" s="13">
        <f t="shared" ref="AZ134:AZ149" si="163">57.3*ASIN(SIN($B$2/57.3)*SIN(AX134/57.3)+COS($B$2/57.3)*COS(AW134/57.3)*COS(AX134/57.6))</f>
        <v>-26.204228155255571</v>
      </c>
      <c r="BA134" s="1132">
        <f>IF(AZ134&lt;0,0,1)</f>
        <v>0</v>
      </c>
      <c r="BB134" s="1132">
        <f>IF(AY134&lt;0,0,1)</f>
        <v>1</v>
      </c>
      <c r="BC134" s="187">
        <f>AY134*BB134*BA134</f>
        <v>0</v>
      </c>
      <c r="BD134" s="1136">
        <f t="shared" ref="BD134:BD149" si="164">AT134*BC134+((1+COS($Z$2/57.3))/2)*AU134+((1-COS($Z$2/57.3))/2)*(AT134+AU134)*0.2</f>
        <v>0</v>
      </c>
      <c r="BG134" s="1132"/>
      <c r="BH134" s="1132"/>
      <c r="BI134" s="1132"/>
    </row>
    <row r="135" spans="1:61" x14ac:dyDescent="0.2">
      <c r="A135" s="1135">
        <v>0</v>
      </c>
      <c r="B135" s="1135">
        <v>0</v>
      </c>
      <c r="C135" s="1135"/>
      <c r="D135" s="1135">
        <v>0</v>
      </c>
      <c r="E135" s="187">
        <v>0</v>
      </c>
      <c r="F135" s="187"/>
      <c r="G135" s="187">
        <v>0</v>
      </c>
      <c r="H135" s="187">
        <v>0</v>
      </c>
      <c r="I135" s="187"/>
      <c r="J135" s="187">
        <v>0</v>
      </c>
      <c r="K135" s="187">
        <v>0</v>
      </c>
      <c r="L135" s="187"/>
      <c r="M135" s="187">
        <v>0</v>
      </c>
      <c r="N135" s="187">
        <v>0</v>
      </c>
      <c r="O135" s="187"/>
      <c r="P135" s="187">
        <v>0</v>
      </c>
      <c r="Q135" s="187">
        <v>0</v>
      </c>
      <c r="R135" s="187"/>
      <c r="S135" s="187">
        <v>0</v>
      </c>
      <c r="T135" s="187">
        <v>0</v>
      </c>
      <c r="U135" s="187"/>
      <c r="V135" s="1138">
        <f t="shared" si="154"/>
        <v>0</v>
      </c>
      <c r="W135" s="1138">
        <f t="shared" si="155"/>
        <v>0</v>
      </c>
      <c r="Y135" s="1132">
        <v>6</v>
      </c>
      <c r="Z135" s="44">
        <v>227</v>
      </c>
      <c r="AA135" s="1135">
        <f t="shared" ref="AA135:AA149" si="165">V135</f>
        <v>0</v>
      </c>
      <c r="AB135" s="1135">
        <f t="shared" si="156"/>
        <v>0</v>
      </c>
      <c r="AC135" s="1132">
        <f t="shared" si="151"/>
        <v>5.5</v>
      </c>
      <c r="AD135" s="1133">
        <f t="shared" ref="AD135:AD149" si="166">15*(AC135-12)</f>
        <v>-97.5</v>
      </c>
      <c r="AE135" s="186">
        <f t="shared" si="157"/>
        <v>13.795853096269607</v>
      </c>
      <c r="AF135" s="40">
        <f t="shared" si="158"/>
        <v>0.87059564857111016</v>
      </c>
      <c r="AG135" s="13">
        <f t="shared" si="159"/>
        <v>-13.657700401821614</v>
      </c>
      <c r="AH135" s="1132">
        <f t="shared" ref="AH135:AH149" si="167">IF(AG135&lt;0,0,1)</f>
        <v>0</v>
      </c>
      <c r="AI135" s="1132">
        <f t="shared" ref="AI135:AI149" si="168">IF(AF135&lt;0,0,1)</f>
        <v>1</v>
      </c>
      <c r="AJ135" s="187">
        <f t="shared" ref="AJ135:AJ149" si="169">AF135*AI135*AH135</f>
        <v>0</v>
      </c>
      <c r="AK135" s="1136">
        <f t="shared" si="160"/>
        <v>0</v>
      </c>
      <c r="AR135" s="1132">
        <v>6</v>
      </c>
      <c r="AS135" s="44">
        <v>227</v>
      </c>
      <c r="AT135" s="1135">
        <f t="shared" si="152"/>
        <v>0</v>
      </c>
      <c r="AU135" s="1135">
        <f t="shared" si="150"/>
        <v>0</v>
      </c>
      <c r="AV135" s="1132">
        <f t="shared" si="153"/>
        <v>5.5</v>
      </c>
      <c r="AW135" s="1133">
        <f t="shared" ref="AW135:AW149" si="170">15*(AV135-12)</f>
        <v>-97.5</v>
      </c>
      <c r="AX135" s="186">
        <f t="shared" si="161"/>
        <v>13.795853096269607</v>
      </c>
      <c r="AY135" s="40">
        <f t="shared" si="162"/>
        <v>0.87059564857111016</v>
      </c>
      <c r="AZ135" s="13">
        <f t="shared" si="163"/>
        <v>-13.657700401821614</v>
      </c>
      <c r="BA135" s="1132">
        <f t="shared" ref="BA135:BA149" si="171">IF(AZ135&lt;0,0,1)</f>
        <v>0</v>
      </c>
      <c r="BB135" s="1132">
        <f t="shared" ref="BB135:BB149" si="172">IF(AY135&lt;0,0,1)</f>
        <v>1</v>
      </c>
      <c r="BC135" s="187">
        <f t="shared" ref="BC135:BC149" si="173">AY135*BB135*BA135</f>
        <v>0</v>
      </c>
      <c r="BD135" s="1136">
        <f t="shared" si="164"/>
        <v>0</v>
      </c>
      <c r="BG135" s="1132"/>
      <c r="BH135" s="1132"/>
      <c r="BI135" s="1132"/>
    </row>
    <row r="136" spans="1:61" x14ac:dyDescent="0.2">
      <c r="A136" s="1135">
        <v>1.1714577692231224E-4</v>
      </c>
      <c r="B136" s="1135">
        <v>1.5385950494744929E-3</v>
      </c>
      <c r="C136" s="1135"/>
      <c r="D136" s="1135">
        <v>7.9253403489802261E-5</v>
      </c>
      <c r="E136" s="187">
        <v>7.9957878187489361E-4</v>
      </c>
      <c r="F136" s="187"/>
      <c r="G136" s="187">
        <v>7.087567966828731E-5</v>
      </c>
      <c r="H136" s="187">
        <v>7.7175740083246193E-4</v>
      </c>
      <c r="I136" s="187"/>
      <c r="J136" s="187">
        <v>3.1473701160867223E-3</v>
      </c>
      <c r="K136" s="187">
        <v>9.0468592174027564E-3</v>
      </c>
      <c r="L136" s="187"/>
      <c r="M136" s="187">
        <v>1.5445110524856835E-4</v>
      </c>
      <c r="N136" s="187">
        <v>4.7159070802562866E-4</v>
      </c>
      <c r="O136" s="187"/>
      <c r="P136" s="187">
        <v>5.2874731130010384E-6</v>
      </c>
      <c r="Q136" s="187">
        <v>2.7847358395138811E-4</v>
      </c>
      <c r="R136" s="187"/>
      <c r="S136" s="187">
        <v>4.0109460335415992E-6</v>
      </c>
      <c r="T136" s="187">
        <v>2.8076622234791195E-5</v>
      </c>
      <c r="U136" s="187"/>
      <c r="V136" s="1138">
        <f t="shared" si="154"/>
        <v>7.087567966828731E-5</v>
      </c>
      <c r="W136" s="1138">
        <f t="shared" si="155"/>
        <v>7.7175740083246193E-4</v>
      </c>
      <c r="Y136" s="1132">
        <v>7</v>
      </c>
      <c r="Z136" s="44">
        <v>227</v>
      </c>
      <c r="AA136" s="1135">
        <f t="shared" si="165"/>
        <v>7.087567966828731E-5</v>
      </c>
      <c r="AB136" s="1135">
        <f t="shared" si="156"/>
        <v>7.7175740083246193E-4</v>
      </c>
      <c r="AC136" s="1132">
        <f t="shared" si="151"/>
        <v>6.5</v>
      </c>
      <c r="AD136" s="1133">
        <f t="shared" si="166"/>
        <v>-82.5</v>
      </c>
      <c r="AE136" s="186">
        <f t="shared" si="157"/>
        <v>13.795853096269607</v>
      </c>
      <c r="AF136" s="40">
        <f t="shared" si="158"/>
        <v>-1.9073275453170404</v>
      </c>
      <c r="AG136" s="13">
        <f t="shared" si="159"/>
        <v>-1.3424495501602933</v>
      </c>
      <c r="AH136" s="1132">
        <f t="shared" si="167"/>
        <v>0</v>
      </c>
      <c r="AI136" s="1132">
        <f t="shared" si="168"/>
        <v>0</v>
      </c>
      <c r="AJ136" s="187">
        <f t="shared" si="169"/>
        <v>0</v>
      </c>
      <c r="AK136" s="1136">
        <f t="shared" si="160"/>
        <v>7.0120277277944975E-4</v>
      </c>
      <c r="AR136" s="1132">
        <v>7</v>
      </c>
      <c r="AS136" s="44">
        <v>227</v>
      </c>
      <c r="AT136" s="1135">
        <f t="shared" si="152"/>
        <v>7.087567966828731E-5</v>
      </c>
      <c r="AU136" s="1135">
        <f t="shared" si="150"/>
        <v>7.7175740083246193E-4</v>
      </c>
      <c r="AV136" s="1132">
        <f t="shared" si="153"/>
        <v>6.5</v>
      </c>
      <c r="AW136" s="1133">
        <f t="shared" si="170"/>
        <v>-82.5</v>
      </c>
      <c r="AX136" s="186">
        <f t="shared" si="161"/>
        <v>13.795853096269607</v>
      </c>
      <c r="AY136" s="40">
        <f t="shared" si="162"/>
        <v>-1.9073275453170404</v>
      </c>
      <c r="AZ136" s="13">
        <f t="shared" si="163"/>
        <v>-1.3424495501602933</v>
      </c>
      <c r="BA136" s="1132">
        <f t="shared" si="171"/>
        <v>0</v>
      </c>
      <c r="BB136" s="1132">
        <f t="shared" si="172"/>
        <v>0</v>
      </c>
      <c r="BC136" s="187">
        <f t="shared" si="173"/>
        <v>0</v>
      </c>
      <c r="BD136" s="1136">
        <f t="shared" si="164"/>
        <v>7.0120277277944975E-4</v>
      </c>
      <c r="BG136" s="1132"/>
      <c r="BH136" s="1132"/>
      <c r="BI136" s="1132"/>
    </row>
    <row r="137" spans="1:61" x14ac:dyDescent="0.2">
      <c r="A137" s="1135">
        <v>1.2757034050526823E-2</v>
      </c>
      <c r="B137" s="1135">
        <v>1.9236567891946728E-2</v>
      </c>
      <c r="C137" s="1135"/>
      <c r="D137" s="1135">
        <v>6.9097914122565711E-3</v>
      </c>
      <c r="E137" s="187">
        <v>2.2414290202786943E-2</v>
      </c>
      <c r="F137" s="187"/>
      <c r="G137" s="187">
        <v>5.7055139443916419E-3</v>
      </c>
      <c r="H137" s="187">
        <v>2.147435439551592E-2</v>
      </c>
      <c r="I137" s="187"/>
      <c r="J137" s="187">
        <v>1.3226273952950481E-2</v>
      </c>
      <c r="K137" s="187">
        <v>2.2046229743379553E-2</v>
      </c>
      <c r="L137" s="187"/>
      <c r="M137" s="187">
        <v>7.2758082473152897E-3</v>
      </c>
      <c r="N137" s="187">
        <v>1.8138882170492584E-2</v>
      </c>
      <c r="O137" s="187"/>
      <c r="P137" s="187">
        <v>5.7590909325079221E-3</v>
      </c>
      <c r="Q137" s="187">
        <v>1.3225425691339178E-2</v>
      </c>
      <c r="R137" s="187"/>
      <c r="S137" s="187">
        <v>2.9279906044853675E-4</v>
      </c>
      <c r="T137" s="187">
        <v>7.1314620476369628E-3</v>
      </c>
      <c r="U137" s="187"/>
      <c r="V137" s="1138">
        <f t="shared" si="154"/>
        <v>5.7055139443916419E-3</v>
      </c>
      <c r="W137" s="1138">
        <f t="shared" si="155"/>
        <v>2.147435439551592E-2</v>
      </c>
      <c r="Y137" s="1132">
        <v>8</v>
      </c>
      <c r="Z137" s="44">
        <v>227</v>
      </c>
      <c r="AA137" s="1135">
        <f t="shared" si="165"/>
        <v>5.7055139443916419E-3</v>
      </c>
      <c r="AB137" s="1135">
        <f t="shared" si="156"/>
        <v>2.147435439551592E-2</v>
      </c>
      <c r="AC137" s="1132">
        <f t="shared" si="151"/>
        <v>7.5</v>
      </c>
      <c r="AD137" s="1133">
        <f t="shared" si="166"/>
        <v>-67.5</v>
      </c>
      <c r="AE137" s="186">
        <f t="shared" si="157"/>
        <v>13.795853096269607</v>
      </c>
      <c r="AF137" s="40">
        <f t="shared" si="158"/>
        <v>1.6151884604545625</v>
      </c>
      <c r="AG137" s="13">
        <f t="shared" si="159"/>
        <v>10.486992982930495</v>
      </c>
      <c r="AH137" s="1132">
        <f t="shared" si="167"/>
        <v>1</v>
      </c>
      <c r="AI137" s="1132">
        <f t="shared" si="168"/>
        <v>1</v>
      </c>
      <c r="AJ137" s="187">
        <f t="shared" si="169"/>
        <v>1.6151884604545625</v>
      </c>
      <c r="AK137" s="1136">
        <f t="shared" si="160"/>
        <v>2.881396558351192E-2</v>
      </c>
      <c r="AR137" s="1132">
        <v>8</v>
      </c>
      <c r="AS137" s="44">
        <v>227</v>
      </c>
      <c r="AT137" s="1135">
        <f t="shared" si="152"/>
        <v>5.7055139443916419E-3</v>
      </c>
      <c r="AU137" s="1135">
        <f t="shared" si="150"/>
        <v>2.147435439551592E-2</v>
      </c>
      <c r="AV137" s="1132">
        <f t="shared" si="153"/>
        <v>7.5</v>
      </c>
      <c r="AW137" s="1133">
        <f t="shared" si="170"/>
        <v>-67.5</v>
      </c>
      <c r="AX137" s="186">
        <f t="shared" si="161"/>
        <v>13.795853096269607</v>
      </c>
      <c r="AY137" s="40">
        <f t="shared" si="162"/>
        <v>1.6151884604545625</v>
      </c>
      <c r="AZ137" s="13">
        <f t="shared" si="163"/>
        <v>10.486992982930495</v>
      </c>
      <c r="BA137" s="1132">
        <f t="shared" si="171"/>
        <v>1</v>
      </c>
      <c r="BB137" s="1132">
        <f t="shared" si="172"/>
        <v>1</v>
      </c>
      <c r="BC137" s="187">
        <f t="shared" si="173"/>
        <v>1.6151884604545625</v>
      </c>
      <c r="BD137" s="1136">
        <f t="shared" si="164"/>
        <v>2.881396558351192E-2</v>
      </c>
      <c r="BG137" s="1132"/>
      <c r="BH137" s="1132"/>
      <c r="BI137" s="1132"/>
    </row>
    <row r="138" spans="1:61" x14ac:dyDescent="0.2">
      <c r="A138" s="1135">
        <v>3.9642640501699744E-2</v>
      </c>
      <c r="B138" s="1135">
        <v>3.2833507302388078E-2</v>
      </c>
      <c r="C138" s="1135"/>
      <c r="D138" s="1135">
        <v>3.6587488031867066E-2</v>
      </c>
      <c r="E138" s="187">
        <v>4.1136362067712567E-2</v>
      </c>
      <c r="F138" s="187"/>
      <c r="G138" s="187">
        <v>2.8370635980951089E-2</v>
      </c>
      <c r="H138" s="187">
        <v>4.5320980702699992E-2</v>
      </c>
      <c r="I138" s="187"/>
      <c r="J138" s="187">
        <v>2.3422289235994188E-2</v>
      </c>
      <c r="K138" s="187">
        <v>4.3031137005753103E-2</v>
      </c>
      <c r="L138" s="187"/>
      <c r="M138" s="187">
        <v>3.2110922290851829E-2</v>
      </c>
      <c r="N138" s="187">
        <v>3.8449151002725779E-2</v>
      </c>
      <c r="O138" s="187"/>
      <c r="P138" s="187">
        <v>2.9448705381720883E-2</v>
      </c>
      <c r="Q138" s="187">
        <v>3.1926708793200635E-2</v>
      </c>
      <c r="R138" s="187"/>
      <c r="S138" s="187">
        <v>1.2440279781589245E-2</v>
      </c>
      <c r="T138" s="187">
        <v>3.9470225509635706E-2</v>
      </c>
      <c r="U138" s="187"/>
      <c r="V138" s="1138">
        <f t="shared" si="154"/>
        <v>2.8370635980951089E-2</v>
      </c>
      <c r="W138" s="1138">
        <f t="shared" si="155"/>
        <v>4.5320980702699992E-2</v>
      </c>
      <c r="Y138" s="1132">
        <v>9</v>
      </c>
      <c r="Z138" s="44">
        <v>227</v>
      </c>
      <c r="AA138" s="1135">
        <f t="shared" si="165"/>
        <v>2.8370635980951089E-2</v>
      </c>
      <c r="AB138" s="1135">
        <f t="shared" si="156"/>
        <v>4.5320980702699992E-2</v>
      </c>
      <c r="AC138" s="1132">
        <f t="shared" si="151"/>
        <v>8.5</v>
      </c>
      <c r="AD138" s="1133">
        <f t="shared" si="166"/>
        <v>-52.5</v>
      </c>
      <c r="AE138" s="186">
        <f t="shared" si="157"/>
        <v>13.795853096269607</v>
      </c>
      <c r="AF138" s="40">
        <f t="shared" si="158"/>
        <v>1.4335156999893783</v>
      </c>
      <c r="AG138" s="13">
        <f t="shared" si="159"/>
        <v>21.481490287443009</v>
      </c>
      <c r="AH138" s="1132">
        <f t="shared" si="167"/>
        <v>1</v>
      </c>
      <c r="AI138" s="1132">
        <f t="shared" si="168"/>
        <v>1</v>
      </c>
      <c r="AJ138" s="187">
        <f t="shared" si="169"/>
        <v>1.4335156999893783</v>
      </c>
      <c r="AK138" s="1136">
        <f t="shared" si="160"/>
        <v>8.2413746893619549E-2</v>
      </c>
      <c r="AR138" s="1132">
        <v>9</v>
      </c>
      <c r="AS138" s="44">
        <v>227</v>
      </c>
      <c r="AT138" s="1135">
        <f t="shared" si="152"/>
        <v>2.8370635980951089E-2</v>
      </c>
      <c r="AU138" s="1135">
        <f t="shared" si="150"/>
        <v>4.5320980702699992E-2</v>
      </c>
      <c r="AV138" s="1132">
        <f t="shared" si="153"/>
        <v>8.5</v>
      </c>
      <c r="AW138" s="1133">
        <f t="shared" si="170"/>
        <v>-52.5</v>
      </c>
      <c r="AX138" s="186">
        <f t="shared" si="161"/>
        <v>13.795853096269607</v>
      </c>
      <c r="AY138" s="40">
        <f t="shared" si="162"/>
        <v>1.4335156999893783</v>
      </c>
      <c r="AZ138" s="13">
        <f t="shared" si="163"/>
        <v>21.481490287443009</v>
      </c>
      <c r="BA138" s="1132">
        <f t="shared" si="171"/>
        <v>1</v>
      </c>
      <c r="BB138" s="1132">
        <f t="shared" si="172"/>
        <v>1</v>
      </c>
      <c r="BC138" s="187">
        <f t="shared" si="173"/>
        <v>1.4335156999893783</v>
      </c>
      <c r="BD138" s="1136">
        <f t="shared" si="164"/>
        <v>8.2413746893619549E-2</v>
      </c>
      <c r="BG138" s="1132"/>
      <c r="BH138" s="1132"/>
      <c r="BI138" s="1132"/>
    </row>
    <row r="139" spans="1:61" x14ac:dyDescent="0.2">
      <c r="A139" s="1135">
        <v>6.2011627802264213E-2</v>
      </c>
      <c r="B139" s="1135">
        <v>4.3588863010561023E-2</v>
      </c>
      <c r="C139" s="1135"/>
      <c r="D139" s="1135">
        <v>5.8600152061053526E-2</v>
      </c>
      <c r="E139" s="187">
        <v>5.4319701520200284E-2</v>
      </c>
      <c r="F139" s="187"/>
      <c r="G139" s="187">
        <v>5.3060290076111433E-2</v>
      </c>
      <c r="H139" s="187">
        <v>5.8580718014719146E-2</v>
      </c>
      <c r="I139" s="187"/>
      <c r="J139" s="187">
        <v>3.7248759350617021E-2</v>
      </c>
      <c r="K139" s="187">
        <v>6.4601601499026523E-2</v>
      </c>
      <c r="L139" s="187"/>
      <c r="M139" s="187">
        <v>5.0624504700105169E-2</v>
      </c>
      <c r="N139" s="187">
        <v>5.8456782309703317E-2</v>
      </c>
      <c r="O139" s="187"/>
      <c r="P139" s="187">
        <v>6.6326555894654818E-2</v>
      </c>
      <c r="Q139" s="187">
        <v>4.6120137896404581E-2</v>
      </c>
      <c r="R139" s="187"/>
      <c r="S139" s="187">
        <v>4.3525818758535562E-2</v>
      </c>
      <c r="T139" s="187">
        <v>6.7170917500787158E-2</v>
      </c>
      <c r="U139" s="187"/>
      <c r="V139" s="1138">
        <f t="shared" si="154"/>
        <v>5.3060290076111433E-2</v>
      </c>
      <c r="W139" s="1138">
        <f t="shared" si="155"/>
        <v>5.8580718014719146E-2</v>
      </c>
      <c r="Y139" s="1132">
        <v>10</v>
      </c>
      <c r="Z139" s="44">
        <v>227</v>
      </c>
      <c r="AA139" s="1135">
        <f t="shared" si="165"/>
        <v>5.3060290076111433E-2</v>
      </c>
      <c r="AB139" s="1135">
        <f t="shared" si="156"/>
        <v>5.8580718014719146E-2</v>
      </c>
      <c r="AC139" s="1132">
        <f t="shared" si="151"/>
        <v>9.5</v>
      </c>
      <c r="AD139" s="1133">
        <f t="shared" si="166"/>
        <v>-37.5</v>
      </c>
      <c r="AE139" s="186">
        <f t="shared" si="157"/>
        <v>13.795853096269607</v>
      </c>
      <c r="AF139" s="40">
        <f t="shared" si="158"/>
        <v>1.397656305226135</v>
      </c>
      <c r="AG139" s="13">
        <f t="shared" si="159"/>
        <v>31.103534334249822</v>
      </c>
      <c r="AH139" s="1132">
        <f t="shared" si="167"/>
        <v>1</v>
      </c>
      <c r="AI139" s="1132">
        <f t="shared" si="168"/>
        <v>1</v>
      </c>
      <c r="AJ139" s="187">
        <f t="shared" si="169"/>
        <v>1.397656305226135</v>
      </c>
      <c r="AK139" s="1136">
        <f t="shared" si="160"/>
        <v>0.128500627277264</v>
      </c>
      <c r="AR139" s="1132">
        <v>10</v>
      </c>
      <c r="AS139" s="44">
        <v>227</v>
      </c>
      <c r="AT139" s="1135">
        <f t="shared" si="152"/>
        <v>5.3060290076111433E-2</v>
      </c>
      <c r="AU139" s="1135">
        <f t="shared" si="150"/>
        <v>5.8580718014719146E-2</v>
      </c>
      <c r="AV139" s="1132">
        <f t="shared" si="153"/>
        <v>9.5</v>
      </c>
      <c r="AW139" s="1133">
        <f t="shared" si="170"/>
        <v>-37.5</v>
      </c>
      <c r="AX139" s="186">
        <f t="shared" si="161"/>
        <v>13.795853096269607</v>
      </c>
      <c r="AY139" s="40">
        <f t="shared" si="162"/>
        <v>1.397656305226135</v>
      </c>
      <c r="AZ139" s="13">
        <f t="shared" si="163"/>
        <v>31.103534334249822</v>
      </c>
      <c r="BA139" s="1132">
        <f t="shared" si="171"/>
        <v>1</v>
      </c>
      <c r="BB139" s="1132">
        <f t="shared" si="172"/>
        <v>1</v>
      </c>
      <c r="BC139" s="187">
        <f t="shared" si="173"/>
        <v>1.397656305226135</v>
      </c>
      <c r="BD139" s="1136">
        <f t="shared" si="164"/>
        <v>0.128500627277264</v>
      </c>
      <c r="BG139" s="1132"/>
      <c r="BH139" s="1132"/>
      <c r="BI139" s="1132"/>
    </row>
    <row r="140" spans="1:61" x14ac:dyDescent="0.2">
      <c r="A140" s="1135">
        <v>8.9310974174833357E-2</v>
      </c>
      <c r="B140" s="1135">
        <v>4.8462120993180889E-2</v>
      </c>
      <c r="C140" s="1135"/>
      <c r="D140" s="1135">
        <v>7.0230843799174311E-2</v>
      </c>
      <c r="E140" s="187">
        <v>6.3869437279059527E-2</v>
      </c>
      <c r="F140" s="187"/>
      <c r="G140" s="187">
        <v>6.2980916460791986E-2</v>
      </c>
      <c r="H140" s="187">
        <v>7.0974118112271056E-2</v>
      </c>
      <c r="I140" s="187"/>
      <c r="J140" s="187">
        <v>5.3139318704161852E-2</v>
      </c>
      <c r="K140" s="187">
        <v>7.8559821990601839E-2</v>
      </c>
      <c r="L140" s="187"/>
      <c r="M140" s="187">
        <v>7.5516293726200029E-2</v>
      </c>
      <c r="N140" s="187">
        <v>7.0621223363855401E-2</v>
      </c>
      <c r="O140" s="187"/>
      <c r="P140" s="187">
        <v>9.1205386217192597E-2</v>
      </c>
      <c r="Q140" s="187">
        <v>5.2680857115867022E-2</v>
      </c>
      <c r="R140" s="187"/>
      <c r="S140" s="187">
        <v>7.1186270203296306E-2</v>
      </c>
      <c r="T140" s="187">
        <v>8.6371711886284785E-2</v>
      </c>
      <c r="U140" s="187"/>
      <c r="V140" s="1138">
        <f t="shared" si="154"/>
        <v>6.2980916460791986E-2</v>
      </c>
      <c r="W140" s="1138">
        <f t="shared" si="155"/>
        <v>7.0974118112271056E-2</v>
      </c>
      <c r="Y140" s="1132">
        <v>11</v>
      </c>
      <c r="Z140" s="44">
        <v>227</v>
      </c>
      <c r="AA140" s="1135">
        <f t="shared" si="165"/>
        <v>6.2980916460791986E-2</v>
      </c>
      <c r="AB140" s="1135">
        <f t="shared" si="156"/>
        <v>7.0974118112271056E-2</v>
      </c>
      <c r="AC140" s="1132">
        <f t="shared" si="151"/>
        <v>10.5</v>
      </c>
      <c r="AD140" s="1133">
        <f t="shared" si="166"/>
        <v>-22.5</v>
      </c>
      <c r="AE140" s="186">
        <f t="shared" si="157"/>
        <v>13.795853096269607</v>
      </c>
      <c r="AF140" s="40">
        <f t="shared" si="158"/>
        <v>1.3994038398473838</v>
      </c>
      <c r="AG140" s="13">
        <f t="shared" si="159"/>
        <v>38.529850840344999</v>
      </c>
      <c r="AH140" s="1132">
        <f t="shared" si="167"/>
        <v>1</v>
      </c>
      <c r="AI140" s="1132">
        <f t="shared" si="168"/>
        <v>1</v>
      </c>
      <c r="AJ140" s="187">
        <f t="shared" si="169"/>
        <v>1.3994038398473838</v>
      </c>
      <c r="AK140" s="1136">
        <f t="shared" si="160"/>
        <v>0.15394214242514034</v>
      </c>
      <c r="AR140" s="1132">
        <v>11</v>
      </c>
      <c r="AS140" s="44">
        <v>227</v>
      </c>
      <c r="AT140" s="1135">
        <f t="shared" si="152"/>
        <v>6.2980916460791986E-2</v>
      </c>
      <c r="AU140" s="1135">
        <f t="shared" si="150"/>
        <v>7.0974118112271056E-2</v>
      </c>
      <c r="AV140" s="1132">
        <f t="shared" si="153"/>
        <v>10.5</v>
      </c>
      <c r="AW140" s="1133">
        <f t="shared" si="170"/>
        <v>-22.5</v>
      </c>
      <c r="AX140" s="186">
        <f t="shared" si="161"/>
        <v>13.795853096269607</v>
      </c>
      <c r="AY140" s="40">
        <f t="shared" si="162"/>
        <v>1.3994038398473838</v>
      </c>
      <c r="AZ140" s="13">
        <f t="shared" si="163"/>
        <v>38.529850840344999</v>
      </c>
      <c r="BA140" s="1132">
        <f t="shared" si="171"/>
        <v>1</v>
      </c>
      <c r="BB140" s="1132">
        <f t="shared" si="172"/>
        <v>1</v>
      </c>
      <c r="BC140" s="187">
        <f t="shared" si="173"/>
        <v>1.3994038398473838</v>
      </c>
      <c r="BD140" s="1136">
        <f t="shared" si="164"/>
        <v>0.15394214242514034</v>
      </c>
      <c r="BG140" s="1132"/>
      <c r="BH140" s="1132"/>
      <c r="BI140" s="1132"/>
    </row>
    <row r="141" spans="1:61" x14ac:dyDescent="0.2">
      <c r="A141" s="1135">
        <v>9.4705718355369103E-2</v>
      </c>
      <c r="B141" s="1135">
        <v>5.5795205090833223E-2</v>
      </c>
      <c r="C141" s="1135"/>
      <c r="D141" s="1135">
        <v>7.5796193910902657E-2</v>
      </c>
      <c r="E141" s="187">
        <v>6.9256907529621853E-2</v>
      </c>
      <c r="F141" s="187"/>
      <c r="G141" s="187">
        <v>7.8292032038021681E-2</v>
      </c>
      <c r="H141" s="187">
        <v>7.4397807194025264E-2</v>
      </c>
      <c r="I141" s="187"/>
      <c r="J141" s="187">
        <v>6.5919105268551131E-2</v>
      </c>
      <c r="K141" s="187">
        <v>8.6611233915474831E-2</v>
      </c>
      <c r="L141" s="187"/>
      <c r="M141" s="187">
        <v>7.8294354272604255E-2</v>
      </c>
      <c r="N141" s="187">
        <v>6.9886036102872209E-2</v>
      </c>
      <c r="O141" s="187"/>
      <c r="P141" s="187">
        <v>0.10918808227450907</v>
      </c>
      <c r="Q141" s="187">
        <v>5.3835288745538903E-2</v>
      </c>
      <c r="R141" s="187"/>
      <c r="S141" s="187">
        <v>7.4198490674486056E-2</v>
      </c>
      <c r="T141" s="187">
        <v>9.8179937009031271E-2</v>
      </c>
      <c r="U141" s="187"/>
      <c r="V141" s="1138">
        <f t="shared" si="154"/>
        <v>7.8292032038021681E-2</v>
      </c>
      <c r="W141" s="1138">
        <f t="shared" si="155"/>
        <v>7.4397807194025264E-2</v>
      </c>
      <c r="Y141" s="1132">
        <v>12</v>
      </c>
      <c r="Z141" s="44">
        <v>227</v>
      </c>
      <c r="AA141" s="1135">
        <f t="shared" si="165"/>
        <v>7.8292032038021681E-2</v>
      </c>
      <c r="AB141" s="1135">
        <f t="shared" si="156"/>
        <v>7.4397807194025264E-2</v>
      </c>
      <c r="AC141" s="1132">
        <f t="shared" si="151"/>
        <v>11.5</v>
      </c>
      <c r="AD141" s="1133">
        <f t="shared" si="166"/>
        <v>-7.5</v>
      </c>
      <c r="AE141" s="186">
        <f t="shared" si="157"/>
        <v>13.795853096269607</v>
      </c>
      <c r="AF141" s="40">
        <f t="shared" si="158"/>
        <v>1.4217319924650855</v>
      </c>
      <c r="AG141" s="13">
        <f t="shared" si="159"/>
        <v>42.684816591261601</v>
      </c>
      <c r="AH141" s="1132">
        <f t="shared" si="167"/>
        <v>1</v>
      </c>
      <c r="AI141" s="1132">
        <f t="shared" si="168"/>
        <v>1</v>
      </c>
      <c r="AJ141" s="187">
        <f t="shared" si="169"/>
        <v>1.4217319924650855</v>
      </c>
      <c r="AK141" s="1136">
        <f t="shared" si="160"/>
        <v>0.18057819215855017</v>
      </c>
      <c r="AR141" s="1132">
        <v>12</v>
      </c>
      <c r="AS141" s="44">
        <v>227</v>
      </c>
      <c r="AT141" s="1135">
        <f t="shared" si="152"/>
        <v>7.8292032038021681E-2</v>
      </c>
      <c r="AU141" s="1135">
        <f t="shared" si="150"/>
        <v>7.4397807194025264E-2</v>
      </c>
      <c r="AV141" s="1132">
        <f t="shared" si="153"/>
        <v>11.5</v>
      </c>
      <c r="AW141" s="1133">
        <f t="shared" si="170"/>
        <v>-7.5</v>
      </c>
      <c r="AX141" s="186">
        <f t="shared" si="161"/>
        <v>13.795853096269607</v>
      </c>
      <c r="AY141" s="40">
        <f t="shared" si="162"/>
        <v>1.4217319924650855</v>
      </c>
      <c r="AZ141" s="13">
        <f t="shared" si="163"/>
        <v>42.684816591261601</v>
      </c>
      <c r="BA141" s="1132">
        <f t="shared" si="171"/>
        <v>1</v>
      </c>
      <c r="BB141" s="1132">
        <f t="shared" si="172"/>
        <v>1</v>
      </c>
      <c r="BC141" s="187">
        <f t="shared" si="173"/>
        <v>1.4217319924650855</v>
      </c>
      <c r="BD141" s="1136">
        <f t="shared" si="164"/>
        <v>0.18057819215855017</v>
      </c>
      <c r="BG141" s="1132"/>
      <c r="BH141" s="1132"/>
      <c r="BI141" s="1132"/>
    </row>
    <row r="142" spans="1:61" x14ac:dyDescent="0.2">
      <c r="A142" s="1135">
        <v>9.4705718355369103E-2</v>
      </c>
      <c r="B142" s="1135">
        <v>5.5795205090833223E-2</v>
      </c>
      <c r="C142" s="1135"/>
      <c r="D142" s="1135">
        <v>7.5796193910902657E-2</v>
      </c>
      <c r="E142" s="187">
        <v>6.9256907529621853E-2</v>
      </c>
      <c r="F142" s="187"/>
      <c r="G142" s="187">
        <v>7.8292032038021681E-2</v>
      </c>
      <c r="H142" s="187">
        <v>7.4397807194025264E-2</v>
      </c>
      <c r="I142" s="187"/>
      <c r="J142" s="187">
        <v>6.5919105268551131E-2</v>
      </c>
      <c r="K142" s="187">
        <v>8.6611233915474831E-2</v>
      </c>
      <c r="L142" s="187"/>
      <c r="M142" s="187">
        <v>7.8294354272604255E-2</v>
      </c>
      <c r="N142" s="187">
        <v>6.9886036102872209E-2</v>
      </c>
      <c r="O142" s="187"/>
      <c r="P142" s="187">
        <v>0.10918808227450907</v>
      </c>
      <c r="Q142" s="187">
        <v>5.3835288745538903E-2</v>
      </c>
      <c r="R142" s="187"/>
      <c r="S142" s="187">
        <v>7.4198490674486056E-2</v>
      </c>
      <c r="T142" s="187">
        <v>9.8179937009031271E-2</v>
      </c>
      <c r="U142" s="187"/>
      <c r="V142" s="1138">
        <f t="shared" si="154"/>
        <v>7.8292032038021681E-2</v>
      </c>
      <c r="W142" s="1138">
        <f t="shared" si="155"/>
        <v>7.4397807194025264E-2</v>
      </c>
      <c r="Y142" s="1132">
        <v>13</v>
      </c>
      <c r="Z142" s="44">
        <v>227</v>
      </c>
      <c r="AA142" s="1135">
        <f t="shared" si="165"/>
        <v>7.8292032038021681E-2</v>
      </c>
      <c r="AB142" s="1135">
        <f t="shared" si="156"/>
        <v>7.4397807194025264E-2</v>
      </c>
      <c r="AC142" s="1132">
        <f t="shared" si="151"/>
        <v>12.5</v>
      </c>
      <c r="AD142" s="1133">
        <f t="shared" si="166"/>
        <v>7.5</v>
      </c>
      <c r="AE142" s="186">
        <f t="shared" si="157"/>
        <v>13.795853096269607</v>
      </c>
      <c r="AF142" s="40">
        <f t="shared" si="158"/>
        <v>1.4635353655239651</v>
      </c>
      <c r="AG142" s="13">
        <f t="shared" si="159"/>
        <v>42.684816591261601</v>
      </c>
      <c r="AH142" s="1132">
        <f t="shared" si="167"/>
        <v>1</v>
      </c>
      <c r="AI142" s="1132">
        <f t="shared" si="168"/>
        <v>1</v>
      </c>
      <c r="AJ142" s="187">
        <f t="shared" si="169"/>
        <v>1.4635353655239651</v>
      </c>
      <c r="AK142" s="1136">
        <f t="shared" si="160"/>
        <v>0.18385106318137337</v>
      </c>
      <c r="AR142" s="1132">
        <v>13</v>
      </c>
      <c r="AS142" s="44">
        <v>227</v>
      </c>
      <c r="AT142" s="1135">
        <f t="shared" si="152"/>
        <v>7.8292032038021681E-2</v>
      </c>
      <c r="AU142" s="1135">
        <f t="shared" si="150"/>
        <v>7.4397807194025264E-2</v>
      </c>
      <c r="AV142" s="1132">
        <f t="shared" si="153"/>
        <v>12.5</v>
      </c>
      <c r="AW142" s="1133">
        <f t="shared" si="170"/>
        <v>7.5</v>
      </c>
      <c r="AX142" s="186">
        <f t="shared" si="161"/>
        <v>13.795853096269607</v>
      </c>
      <c r="AY142" s="40">
        <f t="shared" si="162"/>
        <v>1.4635353655239651</v>
      </c>
      <c r="AZ142" s="13">
        <f t="shared" si="163"/>
        <v>42.684816591261601</v>
      </c>
      <c r="BA142" s="1132">
        <f t="shared" si="171"/>
        <v>1</v>
      </c>
      <c r="BB142" s="1132">
        <f t="shared" si="172"/>
        <v>1</v>
      </c>
      <c r="BC142" s="187">
        <f t="shared" si="173"/>
        <v>1.4635353655239651</v>
      </c>
      <c r="BD142" s="1136">
        <f t="shared" si="164"/>
        <v>0.18385106318137337</v>
      </c>
      <c r="BG142" s="1132"/>
      <c r="BH142" s="1132"/>
      <c r="BI142" s="1132"/>
    </row>
    <row r="143" spans="1:61" x14ac:dyDescent="0.2">
      <c r="A143" s="1135">
        <v>8.9310974174833357E-2</v>
      </c>
      <c r="B143" s="1135">
        <v>4.8462120993180889E-2</v>
      </c>
      <c r="C143" s="1135"/>
      <c r="D143" s="1135">
        <v>7.0230843799174311E-2</v>
      </c>
      <c r="E143" s="187">
        <v>6.3869437279059527E-2</v>
      </c>
      <c r="F143" s="187"/>
      <c r="G143" s="187">
        <v>6.2980916460791986E-2</v>
      </c>
      <c r="H143" s="187">
        <v>7.0974118112271056E-2</v>
      </c>
      <c r="I143" s="187"/>
      <c r="J143" s="187">
        <v>5.3139318704161852E-2</v>
      </c>
      <c r="K143" s="187">
        <v>7.8559821990601839E-2</v>
      </c>
      <c r="L143" s="187"/>
      <c r="M143" s="187">
        <v>7.5516293726200029E-2</v>
      </c>
      <c r="N143" s="187">
        <v>7.0621223363855401E-2</v>
      </c>
      <c r="O143" s="187"/>
      <c r="P143" s="187">
        <v>9.1205386217192597E-2</v>
      </c>
      <c r="Q143" s="187">
        <v>5.2680857115867022E-2</v>
      </c>
      <c r="R143" s="187"/>
      <c r="S143" s="187">
        <v>7.1186270203296306E-2</v>
      </c>
      <c r="T143" s="187">
        <v>8.6371711886284785E-2</v>
      </c>
      <c r="U143" s="187"/>
      <c r="V143" s="1138">
        <f t="shared" si="154"/>
        <v>6.2980916460791986E-2</v>
      </c>
      <c r="W143" s="1138">
        <f t="shared" si="155"/>
        <v>7.0974118112271056E-2</v>
      </c>
      <c r="Y143" s="1132">
        <v>14</v>
      </c>
      <c r="Z143" s="44">
        <v>227</v>
      </c>
      <c r="AA143" s="1135">
        <f t="shared" si="165"/>
        <v>6.2980916460791986E-2</v>
      </c>
      <c r="AB143" s="1135">
        <f t="shared" si="156"/>
        <v>7.0974118112271056E-2</v>
      </c>
      <c r="AC143" s="1132">
        <f t="shared" si="151"/>
        <v>13.5</v>
      </c>
      <c r="AD143" s="1133">
        <f t="shared" si="166"/>
        <v>22.5</v>
      </c>
      <c r="AE143" s="186">
        <f t="shared" si="157"/>
        <v>13.795853096269607</v>
      </c>
      <c r="AF143" s="40">
        <f t="shared" si="158"/>
        <v>1.5327963868688947</v>
      </c>
      <c r="AG143" s="13">
        <f t="shared" si="159"/>
        <v>38.529850840344999</v>
      </c>
      <c r="AH143" s="1132">
        <f t="shared" si="167"/>
        <v>1</v>
      </c>
      <c r="AI143" s="1132">
        <f t="shared" si="168"/>
        <v>1</v>
      </c>
      <c r="AJ143" s="187">
        <f t="shared" si="169"/>
        <v>1.5327963868688947</v>
      </c>
      <c r="AK143" s="1136">
        <f t="shared" si="160"/>
        <v>0.16234332728559439</v>
      </c>
      <c r="AR143" s="1132">
        <v>14</v>
      </c>
      <c r="AS143" s="44">
        <v>227</v>
      </c>
      <c r="AT143" s="1135">
        <f t="shared" si="152"/>
        <v>6.2980916460791986E-2</v>
      </c>
      <c r="AU143" s="1135">
        <f t="shared" si="150"/>
        <v>7.0974118112271056E-2</v>
      </c>
      <c r="AV143" s="1132">
        <f t="shared" si="153"/>
        <v>13.5</v>
      </c>
      <c r="AW143" s="1133">
        <f t="shared" si="170"/>
        <v>22.5</v>
      </c>
      <c r="AX143" s="186">
        <f t="shared" si="161"/>
        <v>13.795853096269607</v>
      </c>
      <c r="AY143" s="40">
        <f t="shared" si="162"/>
        <v>1.5327963868688947</v>
      </c>
      <c r="AZ143" s="13">
        <f t="shared" si="163"/>
        <v>38.529850840344999</v>
      </c>
      <c r="BA143" s="1132">
        <f t="shared" si="171"/>
        <v>1</v>
      </c>
      <c r="BB143" s="1132">
        <f t="shared" si="172"/>
        <v>1</v>
      </c>
      <c r="BC143" s="187">
        <f t="shared" si="173"/>
        <v>1.5327963868688947</v>
      </c>
      <c r="BD143" s="1136">
        <f t="shared" si="164"/>
        <v>0.16234332728559439</v>
      </c>
      <c r="BG143" s="1132"/>
      <c r="BH143" s="1132"/>
      <c r="BI143" s="1132"/>
    </row>
    <row r="144" spans="1:61" x14ac:dyDescent="0.2">
      <c r="A144" s="1135">
        <v>6.2011627802264213E-2</v>
      </c>
      <c r="B144" s="1135">
        <v>4.3588863010561023E-2</v>
      </c>
      <c r="C144" s="1135"/>
      <c r="D144" s="1135">
        <v>5.8600152061053526E-2</v>
      </c>
      <c r="E144" s="187">
        <v>5.4319701520200284E-2</v>
      </c>
      <c r="F144" s="187"/>
      <c r="G144" s="187">
        <v>5.3060290076111433E-2</v>
      </c>
      <c r="H144" s="187">
        <v>5.8580718014719146E-2</v>
      </c>
      <c r="I144" s="187"/>
      <c r="J144" s="187">
        <v>3.7248759350617021E-2</v>
      </c>
      <c r="K144" s="187">
        <v>6.4601601499026523E-2</v>
      </c>
      <c r="L144" s="187"/>
      <c r="M144" s="187">
        <v>5.0624504700105169E-2</v>
      </c>
      <c r="N144" s="187">
        <v>5.8456782309703317E-2</v>
      </c>
      <c r="O144" s="187"/>
      <c r="P144" s="187">
        <v>6.6326555894654818E-2</v>
      </c>
      <c r="Q144" s="187">
        <v>4.6120137896404581E-2</v>
      </c>
      <c r="R144" s="187"/>
      <c r="S144" s="187">
        <v>4.3525818758535562E-2</v>
      </c>
      <c r="T144" s="187">
        <v>6.7170917500787158E-2</v>
      </c>
      <c r="U144" s="187"/>
      <c r="V144" s="1138">
        <f t="shared" si="154"/>
        <v>5.3060290076111433E-2</v>
      </c>
      <c r="W144" s="1138">
        <f t="shared" si="155"/>
        <v>5.8580718014719146E-2</v>
      </c>
      <c r="Y144" s="1132">
        <v>15</v>
      </c>
      <c r="Z144" s="44">
        <v>227</v>
      </c>
      <c r="AA144" s="1135">
        <f t="shared" si="165"/>
        <v>5.3060290076111433E-2</v>
      </c>
      <c r="AB144" s="1135">
        <f t="shared" si="156"/>
        <v>5.8580718014719146E-2</v>
      </c>
      <c r="AC144" s="1132">
        <f t="shared" si="151"/>
        <v>14.5</v>
      </c>
      <c r="AD144" s="1133">
        <f t="shared" si="166"/>
        <v>37.5</v>
      </c>
      <c r="AE144" s="186">
        <f t="shared" si="157"/>
        <v>13.795853096269607</v>
      </c>
      <c r="AF144" s="40">
        <f t="shared" si="158"/>
        <v>1.6535388611544013</v>
      </c>
      <c r="AG144" s="13">
        <f t="shared" si="159"/>
        <v>31.103534334249822</v>
      </c>
      <c r="AH144" s="1132">
        <f t="shared" si="167"/>
        <v>1</v>
      </c>
      <c r="AI144" s="1132">
        <f t="shared" si="168"/>
        <v>1</v>
      </c>
      <c r="AJ144" s="187">
        <f t="shared" si="169"/>
        <v>1.6535388611544013</v>
      </c>
      <c r="AK144" s="1136">
        <f t="shared" si="160"/>
        <v>0.1420778299202346</v>
      </c>
      <c r="AR144" s="1132">
        <v>15</v>
      </c>
      <c r="AS144" s="44">
        <v>227</v>
      </c>
      <c r="AT144" s="1135">
        <f t="shared" si="152"/>
        <v>5.3060290076111433E-2</v>
      </c>
      <c r="AU144" s="1135">
        <f t="shared" si="150"/>
        <v>5.8580718014719146E-2</v>
      </c>
      <c r="AV144" s="1132">
        <f t="shared" si="153"/>
        <v>14.5</v>
      </c>
      <c r="AW144" s="1133">
        <f t="shared" si="170"/>
        <v>37.5</v>
      </c>
      <c r="AX144" s="186">
        <f t="shared" si="161"/>
        <v>13.795853096269607</v>
      </c>
      <c r="AY144" s="40">
        <f t="shared" si="162"/>
        <v>1.6535388611544013</v>
      </c>
      <c r="AZ144" s="13">
        <f t="shared" si="163"/>
        <v>31.103534334249822</v>
      </c>
      <c r="BA144" s="1132">
        <f t="shared" si="171"/>
        <v>1</v>
      </c>
      <c r="BB144" s="1132">
        <f t="shared" si="172"/>
        <v>1</v>
      </c>
      <c r="BC144" s="187">
        <f t="shared" si="173"/>
        <v>1.6535388611544013</v>
      </c>
      <c r="BD144" s="1136">
        <f t="shared" si="164"/>
        <v>0.1420778299202346</v>
      </c>
      <c r="BG144" s="1132"/>
      <c r="BH144" s="1132"/>
      <c r="BI144" s="1132"/>
    </row>
    <row r="145" spans="1:61" x14ac:dyDescent="0.2">
      <c r="A145" s="1135">
        <v>3.9642640501699744E-2</v>
      </c>
      <c r="B145" s="1135">
        <v>3.2833507302388078E-2</v>
      </c>
      <c r="C145" s="1135"/>
      <c r="D145" s="1135">
        <v>3.6587488031867066E-2</v>
      </c>
      <c r="E145" s="187">
        <v>4.1136362067712567E-2</v>
      </c>
      <c r="F145" s="187"/>
      <c r="G145" s="187">
        <v>2.8370635980951089E-2</v>
      </c>
      <c r="H145" s="187">
        <v>4.5320980702699992E-2</v>
      </c>
      <c r="I145" s="187"/>
      <c r="J145" s="187">
        <v>2.3422289235994188E-2</v>
      </c>
      <c r="K145" s="187">
        <v>4.3031137005753103E-2</v>
      </c>
      <c r="L145" s="187"/>
      <c r="M145" s="187">
        <v>3.2110922290851829E-2</v>
      </c>
      <c r="N145" s="187">
        <v>3.8449151002725779E-2</v>
      </c>
      <c r="O145" s="187"/>
      <c r="P145" s="187">
        <v>2.9448705381720883E-2</v>
      </c>
      <c r="Q145" s="187">
        <v>3.1926708793200635E-2</v>
      </c>
      <c r="R145" s="187"/>
      <c r="S145" s="187">
        <v>1.2440279781589245E-2</v>
      </c>
      <c r="T145" s="187">
        <v>3.9470225509635706E-2</v>
      </c>
      <c r="U145" s="187"/>
      <c r="V145" s="1138">
        <f t="shared" si="154"/>
        <v>2.8370635980951089E-2</v>
      </c>
      <c r="W145" s="1138">
        <f t="shared" si="155"/>
        <v>4.5320980702699992E-2</v>
      </c>
      <c r="Y145" s="1132">
        <v>16</v>
      </c>
      <c r="Z145" s="44">
        <v>227</v>
      </c>
      <c r="AA145" s="1135">
        <f t="shared" si="165"/>
        <v>2.8370635980951089E-2</v>
      </c>
      <c r="AB145" s="1135">
        <f t="shared" si="156"/>
        <v>4.5320980702699992E-2</v>
      </c>
      <c r="AC145" s="1132">
        <f t="shared" si="151"/>
        <v>15.5</v>
      </c>
      <c r="AD145" s="1133">
        <f t="shared" si="166"/>
        <v>52.5</v>
      </c>
      <c r="AE145" s="186">
        <f t="shared" si="157"/>
        <v>13.795853096269607</v>
      </c>
      <c r="AF145" s="40">
        <f t="shared" si="158"/>
        <v>1.9039555809346349</v>
      </c>
      <c r="AG145" s="13">
        <f t="shared" si="159"/>
        <v>21.481490287443009</v>
      </c>
      <c r="AH145" s="1132">
        <f t="shared" si="167"/>
        <v>1</v>
      </c>
      <c r="AI145" s="1132">
        <f t="shared" si="168"/>
        <v>1</v>
      </c>
      <c r="AJ145" s="187">
        <f t="shared" si="169"/>
        <v>1.9039555809346349</v>
      </c>
      <c r="AK145" s="1136">
        <f t="shared" si="160"/>
        <v>9.5760425506839386E-2</v>
      </c>
      <c r="AR145" s="1132">
        <v>16</v>
      </c>
      <c r="AS145" s="44">
        <v>227</v>
      </c>
      <c r="AT145" s="1135">
        <f t="shared" si="152"/>
        <v>2.8370635980951089E-2</v>
      </c>
      <c r="AU145" s="1135">
        <f t="shared" si="150"/>
        <v>4.5320980702699992E-2</v>
      </c>
      <c r="AV145" s="1132">
        <f t="shared" si="153"/>
        <v>15.5</v>
      </c>
      <c r="AW145" s="1133">
        <f t="shared" si="170"/>
        <v>52.5</v>
      </c>
      <c r="AX145" s="186">
        <f t="shared" si="161"/>
        <v>13.795853096269607</v>
      </c>
      <c r="AY145" s="40">
        <f t="shared" si="162"/>
        <v>1.9039555809346349</v>
      </c>
      <c r="AZ145" s="13">
        <f t="shared" si="163"/>
        <v>21.481490287443009</v>
      </c>
      <c r="BA145" s="1132">
        <f t="shared" si="171"/>
        <v>1</v>
      </c>
      <c r="BB145" s="1132">
        <f t="shared" si="172"/>
        <v>1</v>
      </c>
      <c r="BC145" s="187">
        <f t="shared" si="173"/>
        <v>1.9039555809346349</v>
      </c>
      <c r="BD145" s="1136">
        <f t="shared" si="164"/>
        <v>9.5760425506839386E-2</v>
      </c>
      <c r="BG145" s="1132"/>
      <c r="BH145" s="1132"/>
      <c r="BI145" s="1132"/>
    </row>
    <row r="146" spans="1:61" x14ac:dyDescent="0.2">
      <c r="A146" s="1135">
        <v>1.2757034050526823E-2</v>
      </c>
      <c r="B146" s="1135">
        <v>1.9236567891946728E-2</v>
      </c>
      <c r="C146" s="1135"/>
      <c r="D146" s="1135">
        <v>6.9097914122565711E-3</v>
      </c>
      <c r="E146" s="187">
        <v>2.2414290202786943E-2</v>
      </c>
      <c r="F146" s="187"/>
      <c r="G146" s="187">
        <v>5.7055139443916419E-3</v>
      </c>
      <c r="H146" s="187">
        <v>2.147435439551592E-2</v>
      </c>
      <c r="I146" s="187"/>
      <c r="J146" s="187">
        <v>1.3226273952950481E-2</v>
      </c>
      <c r="K146" s="187">
        <v>2.2046229743379553E-2</v>
      </c>
      <c r="L146" s="187"/>
      <c r="M146" s="187">
        <v>7.2758082473152897E-3</v>
      </c>
      <c r="N146" s="187">
        <v>1.8138882170492584E-2</v>
      </c>
      <c r="O146" s="187"/>
      <c r="P146" s="187">
        <v>5.7590909325079221E-3</v>
      </c>
      <c r="Q146" s="187">
        <v>1.3225425691339178E-2</v>
      </c>
      <c r="R146" s="187"/>
      <c r="S146" s="187">
        <v>2.9279906044853675E-4</v>
      </c>
      <c r="T146" s="187">
        <v>7.1314620476369628E-3</v>
      </c>
      <c r="U146" s="187"/>
      <c r="V146" s="1138">
        <f t="shared" si="154"/>
        <v>5.7055139443916419E-3</v>
      </c>
      <c r="W146" s="1138">
        <f t="shared" si="155"/>
        <v>2.147435439551592E-2</v>
      </c>
      <c r="Y146" s="1132">
        <v>17</v>
      </c>
      <c r="Z146" s="44">
        <v>227</v>
      </c>
      <c r="AA146" s="1135">
        <f t="shared" si="165"/>
        <v>5.7055139443916419E-3</v>
      </c>
      <c r="AB146" s="1135">
        <f t="shared" si="156"/>
        <v>2.147435439551592E-2</v>
      </c>
      <c r="AC146" s="1132">
        <f t="shared" si="151"/>
        <v>16.5</v>
      </c>
      <c r="AD146" s="1133">
        <f t="shared" si="166"/>
        <v>67.5</v>
      </c>
      <c r="AE146" s="186">
        <f t="shared" si="157"/>
        <v>13.795853096269607</v>
      </c>
      <c r="AF146" s="40">
        <f t="shared" si="158"/>
        <v>2.7175576466850964</v>
      </c>
      <c r="AG146" s="13">
        <f t="shared" si="159"/>
        <v>10.486992982930495</v>
      </c>
      <c r="AH146" s="1132">
        <f t="shared" si="167"/>
        <v>1</v>
      </c>
      <c r="AI146" s="1132">
        <f t="shared" si="168"/>
        <v>1</v>
      </c>
      <c r="AJ146" s="187">
        <f t="shared" si="169"/>
        <v>2.7175576466850964</v>
      </c>
      <c r="AK146" s="1136">
        <f t="shared" si="160"/>
        <v>3.5103548347417905E-2</v>
      </c>
      <c r="AR146" s="1132">
        <v>17</v>
      </c>
      <c r="AS146" s="44">
        <v>227</v>
      </c>
      <c r="AT146" s="1135">
        <f t="shared" si="152"/>
        <v>5.7055139443916419E-3</v>
      </c>
      <c r="AU146" s="1135">
        <f t="shared" si="150"/>
        <v>2.147435439551592E-2</v>
      </c>
      <c r="AV146" s="1132">
        <f t="shared" si="153"/>
        <v>16.5</v>
      </c>
      <c r="AW146" s="1133">
        <f t="shared" si="170"/>
        <v>67.5</v>
      </c>
      <c r="AX146" s="186">
        <f t="shared" si="161"/>
        <v>13.795853096269607</v>
      </c>
      <c r="AY146" s="40">
        <f t="shared" si="162"/>
        <v>2.7175576466850964</v>
      </c>
      <c r="AZ146" s="13">
        <f t="shared" si="163"/>
        <v>10.486992982930495</v>
      </c>
      <c r="BA146" s="1132">
        <f t="shared" si="171"/>
        <v>1</v>
      </c>
      <c r="BB146" s="1132">
        <f t="shared" si="172"/>
        <v>1</v>
      </c>
      <c r="BC146" s="187">
        <f t="shared" si="173"/>
        <v>2.7175576466850964</v>
      </c>
      <c r="BD146" s="1136">
        <f t="shared" si="164"/>
        <v>3.5103548347417905E-2</v>
      </c>
      <c r="BG146" s="1132"/>
      <c r="BH146" s="1132"/>
      <c r="BI146" s="1132"/>
    </row>
    <row r="147" spans="1:61" x14ac:dyDescent="0.2">
      <c r="A147" s="1135">
        <v>1.1714577692231224E-4</v>
      </c>
      <c r="B147" s="1135">
        <v>1.5385950494744929E-3</v>
      </c>
      <c r="C147" s="1135"/>
      <c r="D147" s="1135">
        <v>7.9253403489802261E-5</v>
      </c>
      <c r="E147" s="187">
        <v>7.9957878187489361E-4</v>
      </c>
      <c r="F147" s="187"/>
      <c r="G147" s="187">
        <v>7.087567966828731E-5</v>
      </c>
      <c r="H147" s="187">
        <v>7.7175740083246193E-4</v>
      </c>
      <c r="I147" s="187"/>
      <c r="J147" s="187">
        <v>3.1473701160867223E-3</v>
      </c>
      <c r="K147" s="187">
        <v>9.0468592174027564E-3</v>
      </c>
      <c r="L147" s="187"/>
      <c r="M147" s="187">
        <v>1.5445110524856835E-4</v>
      </c>
      <c r="N147" s="187">
        <v>4.7159070802562866E-4</v>
      </c>
      <c r="O147" s="187"/>
      <c r="P147" s="187">
        <v>5.2874731130010384E-6</v>
      </c>
      <c r="Q147" s="187">
        <v>2.7847358395138811E-4</v>
      </c>
      <c r="R147" s="187"/>
      <c r="S147" s="187">
        <v>4.0109460335415992E-6</v>
      </c>
      <c r="T147" s="187">
        <v>2.8076622234791195E-5</v>
      </c>
      <c r="U147" s="187"/>
      <c r="V147" s="1138">
        <f t="shared" si="154"/>
        <v>7.087567966828731E-5</v>
      </c>
      <c r="W147" s="1138">
        <f t="shared" si="155"/>
        <v>7.7175740083246193E-4</v>
      </c>
      <c r="Y147" s="1132">
        <v>18</v>
      </c>
      <c r="Z147" s="44">
        <v>227</v>
      </c>
      <c r="AA147" s="1135">
        <f t="shared" si="165"/>
        <v>7.087567966828731E-5</v>
      </c>
      <c r="AB147" s="1135">
        <f t="shared" si="156"/>
        <v>7.7175740083246193E-4</v>
      </c>
      <c r="AC147" s="1132">
        <f t="shared" si="151"/>
        <v>17.5</v>
      </c>
      <c r="AD147" s="1133">
        <f t="shared" si="166"/>
        <v>82.5</v>
      </c>
      <c r="AE147" s="186">
        <f t="shared" si="157"/>
        <v>13.795853096269607</v>
      </c>
      <c r="AF147" s="40">
        <f t="shared" si="158"/>
        <v>-11.080540264083066</v>
      </c>
      <c r="AG147" s="13">
        <f t="shared" si="159"/>
        <v>-1.3424495501602933</v>
      </c>
      <c r="AH147" s="1132">
        <f t="shared" si="167"/>
        <v>0</v>
      </c>
      <c r="AI147" s="1132">
        <f t="shared" si="168"/>
        <v>0</v>
      </c>
      <c r="AJ147" s="187">
        <f t="shared" si="169"/>
        <v>0</v>
      </c>
      <c r="AK147" s="1136">
        <f t="shared" si="160"/>
        <v>7.0120277277944975E-4</v>
      </c>
      <c r="AR147" s="1132">
        <v>18</v>
      </c>
      <c r="AS147" s="44">
        <v>227</v>
      </c>
      <c r="AT147" s="1135">
        <f t="shared" si="152"/>
        <v>7.087567966828731E-5</v>
      </c>
      <c r="AU147" s="1135">
        <f t="shared" si="150"/>
        <v>7.7175740083246193E-4</v>
      </c>
      <c r="AV147" s="1132">
        <f t="shared" si="153"/>
        <v>17.5</v>
      </c>
      <c r="AW147" s="1133">
        <f t="shared" si="170"/>
        <v>82.5</v>
      </c>
      <c r="AX147" s="186">
        <f t="shared" si="161"/>
        <v>13.795853096269607</v>
      </c>
      <c r="AY147" s="40">
        <f t="shared" si="162"/>
        <v>-11.080540264083066</v>
      </c>
      <c r="AZ147" s="13">
        <f t="shared" si="163"/>
        <v>-1.3424495501602933</v>
      </c>
      <c r="BA147" s="1132">
        <f t="shared" si="171"/>
        <v>0</v>
      </c>
      <c r="BB147" s="1132">
        <f t="shared" si="172"/>
        <v>0</v>
      </c>
      <c r="BC147" s="187">
        <f t="shared" si="173"/>
        <v>0</v>
      </c>
      <c r="BD147" s="1136">
        <f t="shared" si="164"/>
        <v>7.0120277277944975E-4</v>
      </c>
      <c r="BG147" s="1132"/>
      <c r="BH147" s="1132"/>
      <c r="BI147" s="1132"/>
    </row>
    <row r="148" spans="1:61" x14ac:dyDescent="0.2">
      <c r="A148" s="1135">
        <v>0</v>
      </c>
      <c r="B148" s="1135">
        <v>0</v>
      </c>
      <c r="C148" s="1135"/>
      <c r="D148" s="1135">
        <v>0</v>
      </c>
      <c r="E148" s="187">
        <v>0</v>
      </c>
      <c r="F148" s="187"/>
      <c r="G148" s="187">
        <v>0</v>
      </c>
      <c r="H148" s="187">
        <v>0</v>
      </c>
      <c r="I148" s="187"/>
      <c r="J148" s="187">
        <v>0</v>
      </c>
      <c r="K148" s="187">
        <v>0</v>
      </c>
      <c r="L148" s="187"/>
      <c r="M148" s="187">
        <v>0</v>
      </c>
      <c r="N148" s="187">
        <v>0</v>
      </c>
      <c r="O148" s="187"/>
      <c r="P148" s="187">
        <v>0</v>
      </c>
      <c r="Q148" s="187">
        <v>0</v>
      </c>
      <c r="R148" s="187"/>
      <c r="S148" s="187">
        <v>0</v>
      </c>
      <c r="T148" s="187">
        <v>0</v>
      </c>
      <c r="U148" s="187"/>
      <c r="V148" s="1138">
        <f t="shared" si="154"/>
        <v>0</v>
      </c>
      <c r="W148" s="1138">
        <f t="shared" si="155"/>
        <v>0</v>
      </c>
      <c r="Y148" s="1132">
        <v>19</v>
      </c>
      <c r="Z148" s="44">
        <v>227</v>
      </c>
      <c r="AA148" s="1135">
        <f t="shared" si="165"/>
        <v>0</v>
      </c>
      <c r="AB148" s="1135">
        <f t="shared" si="156"/>
        <v>0</v>
      </c>
      <c r="AC148" s="1132">
        <f t="shared" si="151"/>
        <v>18.5</v>
      </c>
      <c r="AD148" s="1133">
        <f t="shared" si="166"/>
        <v>97.5</v>
      </c>
      <c r="AE148" s="186">
        <f t="shared" si="157"/>
        <v>13.795853096269607</v>
      </c>
      <c r="AF148" s="40">
        <f t="shared" si="158"/>
        <v>-4.099688743078525E-2</v>
      </c>
      <c r="AG148" s="13">
        <f t="shared" si="159"/>
        <v>-13.657700401821614</v>
      </c>
      <c r="AH148" s="1132">
        <f t="shared" si="167"/>
        <v>0</v>
      </c>
      <c r="AI148" s="1132">
        <f t="shared" si="168"/>
        <v>0</v>
      </c>
      <c r="AJ148" s="187">
        <f t="shared" si="169"/>
        <v>0</v>
      </c>
      <c r="AK148" s="1136">
        <f t="shared" si="160"/>
        <v>0</v>
      </c>
      <c r="AR148" s="1132">
        <v>19</v>
      </c>
      <c r="AS148" s="44">
        <v>227</v>
      </c>
      <c r="AT148" s="1135">
        <f t="shared" si="152"/>
        <v>0</v>
      </c>
      <c r="AU148" s="1135">
        <f t="shared" si="150"/>
        <v>0</v>
      </c>
      <c r="AV148" s="1132">
        <f t="shared" si="153"/>
        <v>18.5</v>
      </c>
      <c r="AW148" s="1133">
        <f t="shared" si="170"/>
        <v>97.5</v>
      </c>
      <c r="AX148" s="186">
        <f t="shared" si="161"/>
        <v>13.795853096269607</v>
      </c>
      <c r="AY148" s="40">
        <f t="shared" si="162"/>
        <v>-4.099688743078525E-2</v>
      </c>
      <c r="AZ148" s="13">
        <f t="shared" si="163"/>
        <v>-13.657700401821614</v>
      </c>
      <c r="BA148" s="1132">
        <f t="shared" si="171"/>
        <v>0</v>
      </c>
      <c r="BB148" s="1132">
        <f t="shared" si="172"/>
        <v>0</v>
      </c>
      <c r="BC148" s="187">
        <f t="shared" si="173"/>
        <v>0</v>
      </c>
      <c r="BD148" s="1136">
        <f t="shared" si="164"/>
        <v>0</v>
      </c>
      <c r="BG148" s="1132"/>
      <c r="BH148" s="1132"/>
      <c r="BI148" s="1132"/>
    </row>
    <row r="149" spans="1:61" x14ac:dyDescent="0.2">
      <c r="A149" s="1135">
        <v>0</v>
      </c>
      <c r="B149" s="1135">
        <v>0</v>
      </c>
      <c r="C149" s="1135"/>
      <c r="D149" s="1135">
        <v>0</v>
      </c>
      <c r="E149" s="187">
        <v>0</v>
      </c>
      <c r="F149" s="187"/>
      <c r="G149" s="187">
        <v>0</v>
      </c>
      <c r="H149" s="187">
        <v>0</v>
      </c>
      <c r="I149" s="187"/>
      <c r="J149" s="187">
        <v>0</v>
      </c>
      <c r="K149" s="187">
        <v>0</v>
      </c>
      <c r="L149" s="187"/>
      <c r="M149" s="187">
        <v>0</v>
      </c>
      <c r="N149" s="187">
        <v>0</v>
      </c>
      <c r="O149" s="187"/>
      <c r="P149" s="187">
        <v>0</v>
      </c>
      <c r="Q149" s="187">
        <v>0</v>
      </c>
      <c r="R149" s="187"/>
      <c r="S149" s="187">
        <v>0</v>
      </c>
      <c r="T149" s="187">
        <v>0</v>
      </c>
      <c r="U149" s="187"/>
      <c r="V149" s="1138">
        <f t="shared" si="154"/>
        <v>0</v>
      </c>
      <c r="W149" s="1138">
        <f t="shared" si="155"/>
        <v>0</v>
      </c>
      <c r="Y149" s="1132">
        <v>20</v>
      </c>
      <c r="Z149" s="44">
        <v>227</v>
      </c>
      <c r="AA149" s="1135">
        <f t="shared" si="165"/>
        <v>0</v>
      </c>
      <c r="AB149" s="1135">
        <f t="shared" si="156"/>
        <v>0</v>
      </c>
      <c r="AC149" s="1132">
        <f t="shared" si="151"/>
        <v>19.5</v>
      </c>
      <c r="AD149" s="1133">
        <f t="shared" si="166"/>
        <v>112.5</v>
      </c>
      <c r="AE149" s="186">
        <f t="shared" si="157"/>
        <v>13.795853096269607</v>
      </c>
      <c r="AF149" s="40">
        <f t="shared" si="158"/>
        <v>0.54229639222126125</v>
      </c>
      <c r="AG149" s="13">
        <f t="shared" si="159"/>
        <v>-26.204228155255571</v>
      </c>
      <c r="AH149" s="1132">
        <f t="shared" si="167"/>
        <v>0</v>
      </c>
      <c r="AI149" s="1132">
        <f t="shared" si="168"/>
        <v>1</v>
      </c>
      <c r="AJ149" s="187">
        <f t="shared" si="169"/>
        <v>0</v>
      </c>
      <c r="AK149" s="1136">
        <f t="shared" si="160"/>
        <v>0</v>
      </c>
      <c r="AR149" s="1132">
        <v>20</v>
      </c>
      <c r="AS149" s="44">
        <v>227</v>
      </c>
      <c r="AT149" s="1135">
        <f t="shared" si="152"/>
        <v>0</v>
      </c>
      <c r="AU149" s="1135">
        <f t="shared" si="150"/>
        <v>0</v>
      </c>
      <c r="AV149" s="1132">
        <f t="shared" si="153"/>
        <v>19.5</v>
      </c>
      <c r="AW149" s="1133">
        <f t="shared" si="170"/>
        <v>112.5</v>
      </c>
      <c r="AX149" s="186">
        <f t="shared" si="161"/>
        <v>13.795853096269607</v>
      </c>
      <c r="AY149" s="40">
        <f t="shared" si="162"/>
        <v>0.54229639222126125</v>
      </c>
      <c r="AZ149" s="13">
        <f t="shared" si="163"/>
        <v>-26.204228155255571</v>
      </c>
      <c r="BA149" s="1132">
        <f t="shared" si="171"/>
        <v>0</v>
      </c>
      <c r="BB149" s="1132">
        <f t="shared" si="172"/>
        <v>1</v>
      </c>
      <c r="BC149" s="187">
        <f t="shared" si="173"/>
        <v>0</v>
      </c>
      <c r="BD149" s="1136">
        <f t="shared" si="164"/>
        <v>0</v>
      </c>
      <c r="BG149" s="1132"/>
      <c r="BH149" s="1132"/>
      <c r="BI149" s="1132"/>
    </row>
    <row r="150" spans="1:61" x14ac:dyDescent="0.2">
      <c r="A150" s="1135"/>
      <c r="B150" s="1135"/>
      <c r="C150" s="1135"/>
      <c r="D150" s="1135"/>
      <c r="E150" s="187"/>
      <c r="F150" s="187"/>
      <c r="G150" s="187"/>
      <c r="H150" s="187"/>
      <c r="I150" s="187"/>
      <c r="J150" s="187"/>
      <c r="K150" s="187"/>
      <c r="L150" s="187"/>
      <c r="M150" s="187"/>
      <c r="N150" s="187"/>
      <c r="O150" s="187"/>
      <c r="P150" s="187"/>
      <c r="Q150" s="187"/>
      <c r="R150" s="187"/>
      <c r="S150" s="187"/>
      <c r="T150" s="187"/>
      <c r="U150" s="187"/>
      <c r="V150" s="1138"/>
      <c r="W150" s="1138"/>
      <c r="Y150" s="11"/>
      <c r="Z150" s="1139"/>
      <c r="AA150" s="11"/>
      <c r="AC150" s="1132">
        <f t="shared" si="151"/>
        <v>-0.5</v>
      </c>
      <c r="AF150" s="187"/>
      <c r="AK150" s="187">
        <f>SUM(AK134:AK149)</f>
        <v>1.1947872741251044</v>
      </c>
      <c r="AR150" s="11"/>
      <c r="AS150" s="1139"/>
      <c r="AT150" s="1135"/>
      <c r="AU150" s="1135"/>
      <c r="AV150" s="1132">
        <f t="shared" si="153"/>
        <v>-0.5</v>
      </c>
      <c r="AY150" s="40"/>
      <c r="BD150" s="187">
        <f>SUM(BD134:BD149)</f>
        <v>1.1947872741251044</v>
      </c>
      <c r="BG150" s="1132"/>
      <c r="BH150" s="1132"/>
      <c r="BI150" s="1132"/>
    </row>
    <row r="151" spans="1:61" x14ac:dyDescent="0.2">
      <c r="A151" s="1135" t="s">
        <v>1264</v>
      </c>
      <c r="B151" s="1135"/>
      <c r="C151" s="1135"/>
      <c r="D151" s="1135" t="s">
        <v>1264</v>
      </c>
      <c r="E151" s="187"/>
      <c r="F151" s="187"/>
      <c r="G151" s="187" t="s">
        <v>1264</v>
      </c>
      <c r="H151" s="187"/>
      <c r="I151" s="187"/>
      <c r="J151" s="187" t="s">
        <v>1264</v>
      </c>
      <c r="K151" s="187"/>
      <c r="L151" s="187"/>
      <c r="M151" s="187" t="s">
        <v>1264</v>
      </c>
      <c r="N151" s="187"/>
      <c r="O151" s="187"/>
      <c r="P151" s="187" t="s">
        <v>1264</v>
      </c>
      <c r="Q151" s="187"/>
      <c r="R151" s="187"/>
      <c r="S151" s="187" t="s">
        <v>1264</v>
      </c>
      <c r="T151" s="187"/>
      <c r="U151" s="187"/>
      <c r="V151" s="1138"/>
      <c r="W151" s="1138"/>
      <c r="Z151" s="44"/>
      <c r="AC151" s="1132">
        <f t="shared" si="151"/>
        <v>-0.5</v>
      </c>
      <c r="AS151" s="44"/>
      <c r="AT151" s="1135"/>
      <c r="AU151" s="1135"/>
      <c r="AV151" s="1132">
        <f t="shared" si="153"/>
        <v>-0.5</v>
      </c>
      <c r="AY151" s="40"/>
      <c r="BG151" s="1132"/>
      <c r="BH151" s="1132"/>
      <c r="BI151" s="1132"/>
    </row>
    <row r="152" spans="1:61" x14ac:dyDescent="0.2">
      <c r="A152" s="1135">
        <v>0</v>
      </c>
      <c r="B152" s="1135">
        <v>0</v>
      </c>
      <c r="C152" s="1135"/>
      <c r="D152" s="1135">
        <v>0</v>
      </c>
      <c r="E152" s="187">
        <v>0</v>
      </c>
      <c r="F152" s="187"/>
      <c r="G152" s="187">
        <v>0</v>
      </c>
      <c r="H152" s="187">
        <v>0</v>
      </c>
      <c r="I152" s="187"/>
      <c r="J152" s="187">
        <v>0</v>
      </c>
      <c r="K152" s="187">
        <v>0</v>
      </c>
      <c r="L152" s="187"/>
      <c r="M152" s="187">
        <v>0</v>
      </c>
      <c r="N152" s="187">
        <v>0</v>
      </c>
      <c r="O152" s="187"/>
      <c r="P152" s="187">
        <v>0</v>
      </c>
      <c r="Q152" s="187">
        <v>0</v>
      </c>
      <c r="R152" s="187"/>
      <c r="S152" s="187">
        <v>0</v>
      </c>
      <c r="T152" s="187">
        <v>0</v>
      </c>
      <c r="U152" s="187"/>
      <c r="V152" s="1138">
        <f t="shared" ref="V152:V167" si="174">CHOOSE($B$1,A152,D152,G152,J152,M152,P152,S152)</f>
        <v>0</v>
      </c>
      <c r="W152" s="1138">
        <f t="shared" ref="W152:W167" si="175">CHOOSE($B$1,B152,E152,H152,K152,N152,Q152,T152)</f>
        <v>0</v>
      </c>
      <c r="Y152" s="1132">
        <v>5</v>
      </c>
      <c r="Z152" s="44">
        <v>258</v>
      </c>
      <c r="AA152" s="1135">
        <f>V152</f>
        <v>0</v>
      </c>
      <c r="AB152" s="1135">
        <f t="shared" ref="AB152:AB167" si="176">W152</f>
        <v>0</v>
      </c>
      <c r="AC152" s="1132">
        <f t="shared" si="151"/>
        <v>4.5</v>
      </c>
      <c r="AD152" s="1133">
        <f>15*(AC152-12)</f>
        <v>-112.5</v>
      </c>
      <c r="AE152" s="186">
        <f t="shared" ref="AE152:AE167" si="177">23.45*SIN(360*(284+Z152)/365/57.3)</f>
        <v>2.2329293352520989</v>
      </c>
      <c r="AF152" s="40">
        <f t="shared" ref="AF152:AF167" si="178">((SIN(AE152/57.3)*SIN($B$2/57.3)*COS($Z$2/57.3))-SIN(AE152/57.3)*COS($B$2/57.3)*SIN($Z$2/57.3)*COS($Z$3/57.3)+COS(AE152/57.3)*COS($B$2/57.3)*COS($Z$2/57.3)*COS(AD152/57.3)+COS(AE152/57.3)*SIN($B$2/57.3)*SIN($Z$2/57.3)*COS($Z$3/57.3)*COS(AD152/57.3)+COS(AE152/57.3)*SIN($Z$2/57.3)*SIN($Z$3/57.3)*SIN(AD152/57.3))/(COS($B$2/57.3)*COS(AE152/57.3)*COS(AD152/57.3)+SIN($B$2/57.3)*SIN(AE152/57.3))</f>
        <v>1.3929036224691094</v>
      </c>
      <c r="AG152" s="13">
        <f t="shared" ref="AG152:AG167" si="179">57.3*ASIN(SIN($B$2/57.3)*SIN(AE152/57.3)+COS($B$2/57.3)*COS(AD152/57.3)*COS(AE152/57.6))</f>
        <v>-19.989171333431155</v>
      </c>
      <c r="AH152" s="1132">
        <f>IF(AG152&lt;0,0,1)</f>
        <v>0</v>
      </c>
      <c r="AI152" s="1132">
        <f>IF(AF152&lt;0,0,1)</f>
        <v>1</v>
      </c>
      <c r="AJ152" s="187">
        <f>AF152*AI152*AH152</f>
        <v>0</v>
      </c>
      <c r="AK152" s="1136">
        <f t="shared" ref="AK152:AK167" si="180">AA152*AJ152+((1+COS($Z$2/57.3))/2)*AB152+((1-COS($Z$2/57.3))/2)*(AA152+AB152)*0.2</f>
        <v>0</v>
      </c>
      <c r="AR152" s="1132">
        <v>5</v>
      </c>
      <c r="AS152" s="44">
        <v>258</v>
      </c>
      <c r="AT152" s="1135">
        <f t="shared" si="152"/>
        <v>0</v>
      </c>
      <c r="AU152" s="1135">
        <f t="shared" si="150"/>
        <v>0</v>
      </c>
      <c r="AV152" s="1132">
        <f t="shared" si="153"/>
        <v>4.5</v>
      </c>
      <c r="AW152" s="1133">
        <f>15*(AV152-12)</f>
        <v>-112.5</v>
      </c>
      <c r="AX152" s="186">
        <f t="shared" ref="AX152:AX167" si="181">23.45*SIN(360*(284+AS152)/365/57.3)</f>
        <v>2.2329293352520989</v>
      </c>
      <c r="AY152" s="40">
        <f t="shared" ref="AY152:AY167" si="182">((SIN(AX152/57.3)*SIN($B$2/57.3)*COS($AS$2/57.3))-SIN(AX152/57.3)*COS($B$2/57.3)*SIN($AS$2/57.3)*COS($AS$3/57.3)+COS(AX152/57.3)*COS($B$2/57.3)*COS($AS$2/57.3)*COS(AW152/57.3)+COS(AX152/57.3)*SIN($B$2/57.3)*SIN($AS$2/57.3)*COS($AS$3/57.3)*COS(AW152/57.3)+COS(AX152/57.3)*SIN($AS$2/57.3)*SIN($AS$3/57.3)*SIN(AW152/57.3))/(COS($B$2/57.3)*COS(AX152/57.3)*COS(AW152/57.3)+SIN($B$2/57.3)*SIN(AX152/57.3))</f>
        <v>1.3929036224691094</v>
      </c>
      <c r="AZ152" s="13">
        <f t="shared" ref="AZ152:AZ167" si="183">57.3*ASIN(SIN($B$2/57.3)*SIN(AX152/57.3)+COS($B$2/57.3)*COS(AW152/57.3)*COS(AX152/57.6))</f>
        <v>-19.989171333431155</v>
      </c>
      <c r="BA152" s="1132">
        <f>IF(AZ152&lt;0,0,1)</f>
        <v>0</v>
      </c>
      <c r="BB152" s="1132">
        <f>IF(AY152&lt;0,0,1)</f>
        <v>1</v>
      </c>
      <c r="BC152" s="187">
        <f>AY152*BB152*BA152</f>
        <v>0</v>
      </c>
      <c r="BD152" s="1136">
        <f t="shared" ref="BD152:BD167" si="184">AT152*BC152+((1+COS($Z$2/57.3))/2)*AU152+((1-COS($Z$2/57.3))/2)*(AT152+AU152)*0.2</f>
        <v>0</v>
      </c>
      <c r="BG152" s="1132"/>
      <c r="BH152" s="1132"/>
      <c r="BI152" s="1132"/>
    </row>
    <row r="153" spans="1:61" x14ac:dyDescent="0.2">
      <c r="A153" s="1135">
        <v>0</v>
      </c>
      <c r="B153" s="1135">
        <v>5.8224209711811222E-6</v>
      </c>
      <c r="C153" s="1135"/>
      <c r="D153" s="1135">
        <v>0</v>
      </c>
      <c r="E153" s="187">
        <v>1.5438630580503958E-5</v>
      </c>
      <c r="F153" s="187"/>
      <c r="G153" s="187">
        <v>0</v>
      </c>
      <c r="H153" s="187">
        <v>1.3694231622452415E-5</v>
      </c>
      <c r="I153" s="187"/>
      <c r="J153" s="187">
        <v>9.6334473291270179E-5</v>
      </c>
      <c r="K153" s="187">
        <v>1.5461682963248393E-3</v>
      </c>
      <c r="L153" s="187"/>
      <c r="M153" s="187">
        <v>1.4079484180259937E-6</v>
      </c>
      <c r="N153" s="187">
        <v>1.5487432598285931E-5</v>
      </c>
      <c r="O153" s="187"/>
      <c r="P153" s="187">
        <v>1.3077685776869488E-6</v>
      </c>
      <c r="Q153" s="187">
        <v>1.7000991509930339E-5</v>
      </c>
      <c r="R153" s="187"/>
      <c r="S153" s="187">
        <v>1.8851483024718499E-6</v>
      </c>
      <c r="T153" s="187">
        <v>3.0162372839549599E-5</v>
      </c>
      <c r="U153" s="187"/>
      <c r="V153" s="1138">
        <f t="shared" si="174"/>
        <v>0</v>
      </c>
      <c r="W153" s="1138">
        <f t="shared" si="175"/>
        <v>1.3694231622452415E-5</v>
      </c>
      <c r="Y153" s="1132">
        <v>6</v>
      </c>
      <c r="Z153" s="44">
        <v>258</v>
      </c>
      <c r="AA153" s="1135">
        <f t="shared" ref="AA153:AA167" si="185">V153</f>
        <v>0</v>
      </c>
      <c r="AB153" s="1135">
        <f t="shared" si="176"/>
        <v>1.3694231622452415E-5</v>
      </c>
      <c r="AC153" s="1132">
        <f t="shared" si="151"/>
        <v>5.5</v>
      </c>
      <c r="AD153" s="1133">
        <f t="shared" ref="AD153:AD167" si="186">15*(AC153-12)</f>
        <v>-97.5</v>
      </c>
      <c r="AE153" s="186">
        <f t="shared" si="177"/>
        <v>2.2329293352520989</v>
      </c>
      <c r="AF153" s="40">
        <f t="shared" si="178"/>
        <v>1.8001427918298334</v>
      </c>
      <c r="AG153" s="13">
        <f t="shared" si="179"/>
        <v>-7.4991793490805376</v>
      </c>
      <c r="AH153" s="1132">
        <f t="shared" ref="AH153:AH167" si="187">IF(AG153&lt;0,0,1)</f>
        <v>0</v>
      </c>
      <c r="AI153" s="1132">
        <f t="shared" ref="AI153:AI167" si="188">IF(AF153&lt;0,0,1)</f>
        <v>1</v>
      </c>
      <c r="AJ153" s="187">
        <f t="shared" ref="AJ153:AJ167" si="189">AF153*AI153*AH153</f>
        <v>0</v>
      </c>
      <c r="AK153" s="1136">
        <f t="shared" si="180"/>
        <v>1.2412876037759991E-5</v>
      </c>
      <c r="AR153" s="1132">
        <v>6</v>
      </c>
      <c r="AS153" s="44">
        <v>258</v>
      </c>
      <c r="AT153" s="1135">
        <f t="shared" si="152"/>
        <v>0</v>
      </c>
      <c r="AU153" s="1135">
        <f t="shared" si="150"/>
        <v>1.3694231622452415E-5</v>
      </c>
      <c r="AV153" s="1132">
        <f t="shared" si="153"/>
        <v>5.5</v>
      </c>
      <c r="AW153" s="1133">
        <f t="shared" ref="AW153:AW167" si="190">15*(AV153-12)</f>
        <v>-97.5</v>
      </c>
      <c r="AX153" s="186">
        <f t="shared" si="181"/>
        <v>2.2329293352520989</v>
      </c>
      <c r="AY153" s="40">
        <f t="shared" si="182"/>
        <v>1.8001427918298334</v>
      </c>
      <c r="AZ153" s="13">
        <f t="shared" si="183"/>
        <v>-7.4991793490805376</v>
      </c>
      <c r="BA153" s="1132">
        <f t="shared" ref="BA153:BA167" si="191">IF(AZ153&lt;0,0,1)</f>
        <v>0</v>
      </c>
      <c r="BB153" s="1132">
        <f t="shared" ref="BB153:BB167" si="192">IF(AY153&lt;0,0,1)</f>
        <v>1</v>
      </c>
      <c r="BC153" s="187">
        <f t="shared" ref="BC153:BC167" si="193">AY153*BB153*BA153</f>
        <v>0</v>
      </c>
      <c r="BD153" s="1136">
        <f t="shared" si="184"/>
        <v>1.2412876037759991E-5</v>
      </c>
      <c r="BG153" s="1132"/>
      <c r="BH153" s="1132"/>
      <c r="BI153" s="1132"/>
    </row>
    <row r="154" spans="1:61" x14ac:dyDescent="0.2">
      <c r="A154" s="1135">
        <v>9.998865169233062E-4</v>
      </c>
      <c r="B154" s="1135">
        <v>6.288490890945183E-3</v>
      </c>
      <c r="C154" s="1135"/>
      <c r="D154" s="1135">
        <v>9.5590854344286991E-4</v>
      </c>
      <c r="E154" s="187">
        <v>6.7196639601643455E-3</v>
      </c>
      <c r="F154" s="187"/>
      <c r="G154" s="187">
        <v>4.0624499006861839E-4</v>
      </c>
      <c r="H154" s="187">
        <v>5.1718416278936129E-3</v>
      </c>
      <c r="I154" s="187"/>
      <c r="J154" s="187">
        <v>5.6692837531910883E-3</v>
      </c>
      <c r="K154" s="187">
        <v>9.3299937382592402E-3</v>
      </c>
      <c r="L154" s="187"/>
      <c r="M154" s="187">
        <v>6.8567087957865881E-4</v>
      </c>
      <c r="N154" s="187">
        <v>6.0077158997169158E-3</v>
      </c>
      <c r="O154" s="187"/>
      <c r="P154" s="187">
        <v>9.630349629099667E-4</v>
      </c>
      <c r="Q154" s="187">
        <v>5.7345526900087155E-3</v>
      </c>
      <c r="R154" s="187"/>
      <c r="S154" s="187">
        <v>1.2531567195753325E-3</v>
      </c>
      <c r="T154" s="187">
        <v>5.8364917759586559E-3</v>
      </c>
      <c r="U154" s="187"/>
      <c r="V154" s="1138">
        <f t="shared" si="174"/>
        <v>4.0624499006861839E-4</v>
      </c>
      <c r="W154" s="1138">
        <f t="shared" si="175"/>
        <v>5.1718416278936129E-3</v>
      </c>
      <c r="Y154" s="1132">
        <v>7</v>
      </c>
      <c r="Z154" s="44">
        <v>258</v>
      </c>
      <c r="AA154" s="1135">
        <f t="shared" si="185"/>
        <v>4.0624499006861839E-4</v>
      </c>
      <c r="AB154" s="1135">
        <f t="shared" si="176"/>
        <v>5.1718416278936129E-3</v>
      </c>
      <c r="AC154" s="1132">
        <f t="shared" si="151"/>
        <v>6.5</v>
      </c>
      <c r="AD154" s="1133">
        <f t="shared" si="186"/>
        <v>-82.5</v>
      </c>
      <c r="AE154" s="186">
        <f t="shared" si="177"/>
        <v>2.2329293352520989</v>
      </c>
      <c r="AF154" s="40">
        <f t="shared" si="178"/>
        <v>0.25586562726998685</v>
      </c>
      <c r="AG154" s="13">
        <f t="shared" si="179"/>
        <v>5.0638888232511432</v>
      </c>
      <c r="AH154" s="1132">
        <f t="shared" si="187"/>
        <v>1</v>
      </c>
      <c r="AI154" s="1132">
        <f t="shared" si="188"/>
        <v>1</v>
      </c>
      <c r="AJ154" s="187">
        <f t="shared" si="189"/>
        <v>0.25586562726998685</v>
      </c>
      <c r="AK154" s="1136">
        <f t="shared" si="180"/>
        <v>4.8013646825607438E-3</v>
      </c>
      <c r="AR154" s="1132">
        <v>7</v>
      </c>
      <c r="AS154" s="44">
        <v>258</v>
      </c>
      <c r="AT154" s="1135">
        <f t="shared" si="152"/>
        <v>4.0624499006861839E-4</v>
      </c>
      <c r="AU154" s="1135">
        <f t="shared" si="150"/>
        <v>5.1718416278936129E-3</v>
      </c>
      <c r="AV154" s="1132">
        <f t="shared" si="153"/>
        <v>6.5</v>
      </c>
      <c r="AW154" s="1133">
        <f t="shared" si="190"/>
        <v>-82.5</v>
      </c>
      <c r="AX154" s="186">
        <f t="shared" si="181"/>
        <v>2.2329293352520989</v>
      </c>
      <c r="AY154" s="40">
        <f t="shared" si="182"/>
        <v>0.25586562726998685</v>
      </c>
      <c r="AZ154" s="13">
        <f t="shared" si="183"/>
        <v>5.0638888232511432</v>
      </c>
      <c r="BA154" s="1132">
        <f t="shared" si="191"/>
        <v>1</v>
      </c>
      <c r="BB154" s="1132">
        <f t="shared" si="192"/>
        <v>1</v>
      </c>
      <c r="BC154" s="187">
        <f t="shared" si="193"/>
        <v>0.25586562726998685</v>
      </c>
      <c r="BD154" s="1136">
        <f t="shared" si="184"/>
        <v>4.8013646825607438E-3</v>
      </c>
      <c r="BG154" s="1132"/>
      <c r="BH154" s="1132"/>
      <c r="BI154" s="1132"/>
    </row>
    <row r="155" spans="1:61" x14ac:dyDescent="0.2">
      <c r="A155" s="1135">
        <v>2.0893638332456187E-2</v>
      </c>
      <c r="B155" s="1135">
        <v>2.1776866502715965E-2</v>
      </c>
      <c r="C155" s="1135"/>
      <c r="D155" s="1135">
        <v>1.487635491763103E-2</v>
      </c>
      <c r="E155" s="187">
        <v>2.6333884287313349E-2</v>
      </c>
      <c r="F155" s="187"/>
      <c r="G155" s="187">
        <v>1.4737933701962011E-2</v>
      </c>
      <c r="H155" s="187">
        <v>2.6835580044555524E-2</v>
      </c>
      <c r="I155" s="187"/>
      <c r="J155" s="187">
        <v>1.7383555705409181E-2</v>
      </c>
      <c r="K155" s="187">
        <v>2.2946871537979883E-2</v>
      </c>
      <c r="L155" s="187"/>
      <c r="M155" s="187">
        <v>1.3546001240868338E-2</v>
      </c>
      <c r="N155" s="187">
        <v>2.6980716061288615E-2</v>
      </c>
      <c r="O155" s="187"/>
      <c r="P155" s="187">
        <v>1.5848885965968462E-2</v>
      </c>
      <c r="Q155" s="187">
        <v>2.3848764136083934E-2</v>
      </c>
      <c r="R155" s="187"/>
      <c r="S155" s="187">
        <v>1.1487231323243592E-2</v>
      </c>
      <c r="T155" s="187">
        <v>2.7439660829558371E-2</v>
      </c>
      <c r="U155" s="187"/>
      <c r="V155" s="1138">
        <f t="shared" si="174"/>
        <v>1.4737933701962011E-2</v>
      </c>
      <c r="W155" s="1138">
        <f t="shared" si="175"/>
        <v>2.6835580044555524E-2</v>
      </c>
      <c r="Y155" s="1132">
        <v>8</v>
      </c>
      <c r="Z155" s="44">
        <v>258</v>
      </c>
      <c r="AA155" s="1135">
        <f t="shared" si="185"/>
        <v>1.4737933701962011E-2</v>
      </c>
      <c r="AB155" s="1135">
        <f t="shared" si="176"/>
        <v>2.6835580044555524E-2</v>
      </c>
      <c r="AC155" s="1132">
        <f t="shared" si="151"/>
        <v>7.5</v>
      </c>
      <c r="AD155" s="1133">
        <f t="shared" si="186"/>
        <v>-67.5</v>
      </c>
      <c r="AE155" s="186">
        <f t="shared" si="177"/>
        <v>2.2329293352520989</v>
      </c>
      <c r="AF155" s="40">
        <f t="shared" si="178"/>
        <v>0.93086216642371211</v>
      </c>
      <c r="AG155" s="13">
        <f t="shared" si="179"/>
        <v>17.432635016862367</v>
      </c>
      <c r="AH155" s="1132">
        <f t="shared" si="187"/>
        <v>1</v>
      </c>
      <c r="AI155" s="1132">
        <f t="shared" si="188"/>
        <v>1</v>
      </c>
      <c r="AJ155" s="187">
        <f t="shared" si="189"/>
        <v>0.93086216642371211</v>
      </c>
      <c r="AK155" s="1136">
        <f t="shared" si="180"/>
        <v>3.8388339935449836E-2</v>
      </c>
      <c r="AR155" s="1132">
        <v>8</v>
      </c>
      <c r="AS155" s="44">
        <v>258</v>
      </c>
      <c r="AT155" s="1135">
        <f t="shared" si="152"/>
        <v>1.4737933701962011E-2</v>
      </c>
      <c r="AU155" s="1135">
        <f t="shared" si="150"/>
        <v>2.6835580044555524E-2</v>
      </c>
      <c r="AV155" s="1132">
        <f t="shared" si="153"/>
        <v>7.5</v>
      </c>
      <c r="AW155" s="1133">
        <f t="shared" si="190"/>
        <v>-67.5</v>
      </c>
      <c r="AX155" s="186">
        <f t="shared" si="181"/>
        <v>2.2329293352520989</v>
      </c>
      <c r="AY155" s="40">
        <f t="shared" si="182"/>
        <v>0.93086216642371211</v>
      </c>
      <c r="AZ155" s="13">
        <f t="shared" si="183"/>
        <v>17.432635016862367</v>
      </c>
      <c r="BA155" s="1132">
        <f t="shared" si="191"/>
        <v>1</v>
      </c>
      <c r="BB155" s="1132">
        <f t="shared" si="192"/>
        <v>1</v>
      </c>
      <c r="BC155" s="187">
        <f t="shared" si="193"/>
        <v>0.93086216642371211</v>
      </c>
      <c r="BD155" s="1136">
        <f t="shared" si="184"/>
        <v>3.8388339935449836E-2</v>
      </c>
      <c r="BG155" s="1132"/>
      <c r="BH155" s="1132"/>
      <c r="BI155" s="1132"/>
    </row>
    <row r="156" spans="1:61" x14ac:dyDescent="0.2">
      <c r="A156" s="1135">
        <v>4.4422160799626381E-2</v>
      </c>
      <c r="B156" s="1135">
        <v>3.3867081982370192E-2</v>
      </c>
      <c r="C156" s="1135"/>
      <c r="D156" s="1135">
        <v>4.0122511357137833E-2</v>
      </c>
      <c r="E156" s="187">
        <v>3.9648868686545699E-2</v>
      </c>
      <c r="F156" s="187"/>
      <c r="G156" s="187">
        <v>3.577825387430332E-2</v>
      </c>
      <c r="H156" s="187">
        <v>4.158015246728787E-2</v>
      </c>
      <c r="I156" s="187"/>
      <c r="J156" s="187">
        <v>3.6525215548383984E-2</v>
      </c>
      <c r="K156" s="187">
        <v>3.8827609460045306E-2</v>
      </c>
      <c r="L156" s="187"/>
      <c r="M156" s="187">
        <v>3.7361860970175839E-2</v>
      </c>
      <c r="N156" s="187">
        <v>3.9119885107818435E-2</v>
      </c>
      <c r="O156" s="187"/>
      <c r="P156" s="187">
        <v>4.0340737315909314E-2</v>
      </c>
      <c r="Q156" s="187">
        <v>3.6246113899171477E-2</v>
      </c>
      <c r="R156" s="187"/>
      <c r="S156" s="187">
        <v>3.3891453177641383E-2</v>
      </c>
      <c r="T156" s="187">
        <v>4.0287407378414068E-2</v>
      </c>
      <c r="U156" s="187"/>
      <c r="V156" s="1138">
        <f t="shared" si="174"/>
        <v>3.577825387430332E-2</v>
      </c>
      <c r="W156" s="1138">
        <f t="shared" si="175"/>
        <v>4.158015246728787E-2</v>
      </c>
      <c r="Y156" s="1132">
        <v>9</v>
      </c>
      <c r="Z156" s="44">
        <v>258</v>
      </c>
      <c r="AA156" s="1135">
        <f t="shared" si="185"/>
        <v>3.577825387430332E-2</v>
      </c>
      <c r="AB156" s="1135">
        <f t="shared" si="176"/>
        <v>4.158015246728787E-2</v>
      </c>
      <c r="AC156" s="1132">
        <f t="shared" si="151"/>
        <v>8.5</v>
      </c>
      <c r="AD156" s="1133">
        <f t="shared" si="186"/>
        <v>-52.5</v>
      </c>
      <c r="AE156" s="186">
        <f t="shared" si="177"/>
        <v>2.2329293352520989</v>
      </c>
      <c r="AF156" s="40">
        <f t="shared" si="178"/>
        <v>1.0560596225752727</v>
      </c>
      <c r="AG156" s="13">
        <f t="shared" si="179"/>
        <v>29.277577473465715</v>
      </c>
      <c r="AH156" s="1132">
        <f t="shared" si="187"/>
        <v>1</v>
      </c>
      <c r="AI156" s="1132">
        <f t="shared" si="188"/>
        <v>1</v>
      </c>
      <c r="AJ156" s="187">
        <f t="shared" si="189"/>
        <v>1.0560596225752727</v>
      </c>
      <c r="AK156" s="1136">
        <f t="shared" si="180"/>
        <v>7.6310442261177558E-2</v>
      </c>
      <c r="AR156" s="1132">
        <v>9</v>
      </c>
      <c r="AS156" s="44">
        <v>258</v>
      </c>
      <c r="AT156" s="1135">
        <f t="shared" si="152"/>
        <v>3.577825387430332E-2</v>
      </c>
      <c r="AU156" s="1135">
        <f t="shared" si="150"/>
        <v>4.158015246728787E-2</v>
      </c>
      <c r="AV156" s="1132">
        <f t="shared" si="153"/>
        <v>8.5</v>
      </c>
      <c r="AW156" s="1133">
        <f t="shared" si="190"/>
        <v>-52.5</v>
      </c>
      <c r="AX156" s="186">
        <f t="shared" si="181"/>
        <v>2.2329293352520989</v>
      </c>
      <c r="AY156" s="40">
        <f t="shared" si="182"/>
        <v>1.0560596225752727</v>
      </c>
      <c r="AZ156" s="13">
        <f t="shared" si="183"/>
        <v>29.277577473465715</v>
      </c>
      <c r="BA156" s="1132">
        <f t="shared" si="191"/>
        <v>1</v>
      </c>
      <c r="BB156" s="1132">
        <f t="shared" si="192"/>
        <v>1</v>
      </c>
      <c r="BC156" s="187">
        <f t="shared" si="193"/>
        <v>1.0560596225752727</v>
      </c>
      <c r="BD156" s="1136">
        <f t="shared" si="184"/>
        <v>7.6310442261177558E-2</v>
      </c>
      <c r="BG156" s="1132"/>
      <c r="BH156" s="1132"/>
      <c r="BI156" s="1132"/>
    </row>
    <row r="157" spans="1:61" x14ac:dyDescent="0.2">
      <c r="A157" s="1135">
        <v>6.6585206226427301E-2</v>
      </c>
      <c r="B157" s="1135">
        <v>3.9106290452938001E-2</v>
      </c>
      <c r="C157" s="1135"/>
      <c r="D157" s="1135">
        <v>5.664433559986902E-2</v>
      </c>
      <c r="E157" s="187">
        <v>4.8964903438616661E-2</v>
      </c>
      <c r="F157" s="187"/>
      <c r="G157" s="187">
        <v>5.6271368288733845E-2</v>
      </c>
      <c r="H157" s="187">
        <v>5.1396428895406632E-2</v>
      </c>
      <c r="I157" s="187"/>
      <c r="J157" s="187">
        <v>5.6264149125764613E-2</v>
      </c>
      <c r="K157" s="187">
        <v>5.2227734694860597E-2</v>
      </c>
      <c r="L157" s="187"/>
      <c r="M157" s="187">
        <v>5.5965949616533256E-2</v>
      </c>
      <c r="N157" s="187">
        <v>5.4017349005985267E-2</v>
      </c>
      <c r="O157" s="187"/>
      <c r="P157" s="187">
        <v>6.4606383274890655E-2</v>
      </c>
      <c r="Q157" s="187">
        <v>4.4881309817638396E-2</v>
      </c>
      <c r="R157" s="187"/>
      <c r="S157" s="187">
        <v>5.597005310038923E-2</v>
      </c>
      <c r="T157" s="187">
        <v>5.3115938570446844E-2</v>
      </c>
      <c r="U157" s="187"/>
      <c r="V157" s="1138">
        <f t="shared" si="174"/>
        <v>5.6271368288733845E-2</v>
      </c>
      <c r="W157" s="1138">
        <f t="shared" si="175"/>
        <v>5.1396428895406632E-2</v>
      </c>
      <c r="Y157" s="1132">
        <v>10</v>
      </c>
      <c r="Z157" s="44">
        <v>258</v>
      </c>
      <c r="AA157" s="1135">
        <f t="shared" si="185"/>
        <v>5.6271368288733845E-2</v>
      </c>
      <c r="AB157" s="1135">
        <f t="shared" si="176"/>
        <v>5.1396428895406632E-2</v>
      </c>
      <c r="AC157" s="1132">
        <f t="shared" si="151"/>
        <v>9.5</v>
      </c>
      <c r="AD157" s="1133">
        <f t="shared" si="186"/>
        <v>-37.5</v>
      </c>
      <c r="AE157" s="186">
        <f t="shared" si="177"/>
        <v>2.2329293352520989</v>
      </c>
      <c r="AF157" s="40">
        <f t="shared" si="178"/>
        <v>1.1171652942501209</v>
      </c>
      <c r="AG157" s="13">
        <f t="shared" si="179"/>
        <v>40.070312072164754</v>
      </c>
      <c r="AH157" s="1132">
        <f t="shared" si="187"/>
        <v>1</v>
      </c>
      <c r="AI157" s="1132">
        <f t="shared" si="188"/>
        <v>1</v>
      </c>
      <c r="AJ157" s="187">
        <f t="shared" si="189"/>
        <v>1.1171652942501209</v>
      </c>
      <c r="AK157" s="1136">
        <f t="shared" si="180"/>
        <v>0.11076804999618187</v>
      </c>
      <c r="AR157" s="1132">
        <v>10</v>
      </c>
      <c r="AS157" s="44">
        <v>258</v>
      </c>
      <c r="AT157" s="1135">
        <f t="shared" si="152"/>
        <v>5.6271368288733845E-2</v>
      </c>
      <c r="AU157" s="1135">
        <f t="shared" si="150"/>
        <v>5.1396428895406632E-2</v>
      </c>
      <c r="AV157" s="1132">
        <f t="shared" si="153"/>
        <v>9.5</v>
      </c>
      <c r="AW157" s="1133">
        <f t="shared" si="190"/>
        <v>-37.5</v>
      </c>
      <c r="AX157" s="186">
        <f t="shared" si="181"/>
        <v>2.2329293352520989</v>
      </c>
      <c r="AY157" s="40">
        <f t="shared" si="182"/>
        <v>1.1171652942501209</v>
      </c>
      <c r="AZ157" s="13">
        <f t="shared" si="183"/>
        <v>40.070312072164754</v>
      </c>
      <c r="BA157" s="1132">
        <f t="shared" si="191"/>
        <v>1</v>
      </c>
      <c r="BB157" s="1132">
        <f t="shared" si="192"/>
        <v>1</v>
      </c>
      <c r="BC157" s="187">
        <f t="shared" si="193"/>
        <v>1.1171652942501209</v>
      </c>
      <c r="BD157" s="1136">
        <f t="shared" si="184"/>
        <v>0.11076804999618187</v>
      </c>
      <c r="BG157" s="1132"/>
      <c r="BH157" s="1132"/>
      <c r="BI157" s="1132"/>
    </row>
    <row r="158" spans="1:61" x14ac:dyDescent="0.2">
      <c r="A158" s="1135">
        <v>8.1437231720415157E-2</v>
      </c>
      <c r="B158" s="1135">
        <v>4.4723956286632602E-2</v>
      </c>
      <c r="C158" s="1135"/>
      <c r="D158" s="1135">
        <v>6.7001083614290413E-2</v>
      </c>
      <c r="E158" s="187">
        <v>5.8409485696239966E-2</v>
      </c>
      <c r="F158" s="187"/>
      <c r="G158" s="187">
        <v>7.3238120140037763E-2</v>
      </c>
      <c r="H158" s="187">
        <v>5.7962204765192094E-2</v>
      </c>
      <c r="I158" s="187"/>
      <c r="J158" s="187">
        <v>6.2207986127835777E-2</v>
      </c>
      <c r="K158" s="187">
        <v>6.3060546216463578E-2</v>
      </c>
      <c r="L158" s="187"/>
      <c r="M158" s="187">
        <v>6.9216152178575879E-2</v>
      </c>
      <c r="N158" s="187">
        <v>5.6833245842037264E-2</v>
      </c>
      <c r="O158" s="187"/>
      <c r="P158" s="187">
        <v>7.7272121949788733E-2</v>
      </c>
      <c r="Q158" s="187">
        <v>5.1748402619072563E-2</v>
      </c>
      <c r="R158" s="187"/>
      <c r="S158" s="187">
        <v>7.2353876997172079E-2</v>
      </c>
      <c r="T158" s="187">
        <v>6.0762100085272656E-2</v>
      </c>
      <c r="U158" s="187"/>
      <c r="V158" s="1138">
        <f t="shared" si="174"/>
        <v>7.3238120140037763E-2</v>
      </c>
      <c r="W158" s="1138">
        <f t="shared" si="175"/>
        <v>5.7962204765192094E-2</v>
      </c>
      <c r="Y158" s="1132">
        <v>11</v>
      </c>
      <c r="Z158" s="44">
        <v>258</v>
      </c>
      <c r="AA158" s="1135">
        <f t="shared" si="185"/>
        <v>7.3238120140037763E-2</v>
      </c>
      <c r="AB158" s="1135">
        <f t="shared" si="176"/>
        <v>5.7962204765192094E-2</v>
      </c>
      <c r="AC158" s="1132">
        <f t="shared" si="151"/>
        <v>10.5</v>
      </c>
      <c r="AD158" s="1133">
        <f t="shared" si="186"/>
        <v>-22.5</v>
      </c>
      <c r="AE158" s="186">
        <f t="shared" si="177"/>
        <v>2.2329293352520989</v>
      </c>
      <c r="AF158" s="40">
        <f t="shared" si="178"/>
        <v>1.1593902445116866</v>
      </c>
      <c r="AG158" s="13">
        <f t="shared" si="179"/>
        <v>48.859891535089147</v>
      </c>
      <c r="AH158" s="1132">
        <f t="shared" si="187"/>
        <v>1</v>
      </c>
      <c r="AI158" s="1132">
        <f t="shared" si="188"/>
        <v>1</v>
      </c>
      <c r="AJ158" s="187">
        <f t="shared" si="189"/>
        <v>1.1593902445116866</v>
      </c>
      <c r="AK158" s="1136">
        <f t="shared" si="180"/>
        <v>0.13916350558478099</v>
      </c>
      <c r="AR158" s="1132">
        <v>11</v>
      </c>
      <c r="AS158" s="44">
        <v>258</v>
      </c>
      <c r="AT158" s="1135">
        <f t="shared" si="152"/>
        <v>7.3238120140037763E-2</v>
      </c>
      <c r="AU158" s="1135">
        <f t="shared" si="150"/>
        <v>5.7962204765192094E-2</v>
      </c>
      <c r="AV158" s="1132">
        <f t="shared" si="153"/>
        <v>10.5</v>
      </c>
      <c r="AW158" s="1133">
        <f t="shared" si="190"/>
        <v>-22.5</v>
      </c>
      <c r="AX158" s="186">
        <f t="shared" si="181"/>
        <v>2.2329293352520989</v>
      </c>
      <c r="AY158" s="40">
        <f t="shared" si="182"/>
        <v>1.1593902445116866</v>
      </c>
      <c r="AZ158" s="13">
        <f t="shared" si="183"/>
        <v>48.859891535089147</v>
      </c>
      <c r="BA158" s="1132">
        <f t="shared" si="191"/>
        <v>1</v>
      </c>
      <c r="BB158" s="1132">
        <f t="shared" si="192"/>
        <v>1</v>
      </c>
      <c r="BC158" s="187">
        <f t="shared" si="193"/>
        <v>1.1593902445116866</v>
      </c>
      <c r="BD158" s="1136">
        <f t="shared" si="184"/>
        <v>0.13916350558478099</v>
      </c>
      <c r="BG158" s="1132"/>
      <c r="BH158" s="1132"/>
      <c r="BI158" s="1132"/>
    </row>
    <row r="159" spans="1:61" x14ac:dyDescent="0.2">
      <c r="A159" s="1135">
        <v>8.9868097286685419E-2</v>
      </c>
      <c r="B159" s="1135">
        <v>5.0025270580893011E-2</v>
      </c>
      <c r="C159" s="1135"/>
      <c r="D159" s="1135">
        <v>7.7253620872293427E-2</v>
      </c>
      <c r="E159" s="187">
        <v>6.305265384332652E-2</v>
      </c>
      <c r="F159" s="187"/>
      <c r="G159" s="187">
        <v>7.3288788797040816E-2</v>
      </c>
      <c r="H159" s="187">
        <v>6.3319388175895469E-2</v>
      </c>
      <c r="I159" s="187"/>
      <c r="J159" s="187">
        <v>6.7366697172583118E-2</v>
      </c>
      <c r="K159" s="187">
        <v>6.6547854149607483E-2</v>
      </c>
      <c r="L159" s="187"/>
      <c r="M159" s="187">
        <v>7.6279829391812284E-2</v>
      </c>
      <c r="N159" s="187">
        <v>6.3968728424593002E-2</v>
      </c>
      <c r="O159" s="187"/>
      <c r="P159" s="187">
        <v>8.2505811797691897E-2</v>
      </c>
      <c r="Q159" s="187">
        <v>5.5985572810778268E-2</v>
      </c>
      <c r="R159" s="187"/>
      <c r="S159" s="187">
        <v>7.5002510362145031E-2</v>
      </c>
      <c r="T159" s="187">
        <v>6.25680721590407E-2</v>
      </c>
      <c r="U159" s="187"/>
      <c r="V159" s="1138">
        <f t="shared" si="174"/>
        <v>7.3288788797040816E-2</v>
      </c>
      <c r="W159" s="1138">
        <f t="shared" si="175"/>
        <v>6.3319388175895469E-2</v>
      </c>
      <c r="Y159" s="1132">
        <v>12</v>
      </c>
      <c r="Z159" s="44">
        <v>258</v>
      </c>
      <c r="AA159" s="1135">
        <f t="shared" si="185"/>
        <v>7.3288788797040816E-2</v>
      </c>
      <c r="AB159" s="1135">
        <f t="shared" si="176"/>
        <v>6.3319388175895469E-2</v>
      </c>
      <c r="AC159" s="1132">
        <f t="shared" si="151"/>
        <v>11.5</v>
      </c>
      <c r="AD159" s="1133">
        <f t="shared" si="186"/>
        <v>-7.5</v>
      </c>
      <c r="AE159" s="186">
        <f t="shared" si="177"/>
        <v>2.2329293352520989</v>
      </c>
      <c r="AF159" s="40">
        <f t="shared" si="178"/>
        <v>1.1954015497699602</v>
      </c>
      <c r="AG159" s="13">
        <f t="shared" si="179"/>
        <v>54.068418809910995</v>
      </c>
      <c r="AH159" s="1132">
        <f t="shared" si="187"/>
        <v>1</v>
      </c>
      <c r="AI159" s="1132">
        <f t="shared" si="188"/>
        <v>1</v>
      </c>
      <c r="AJ159" s="187">
        <f t="shared" si="189"/>
        <v>1.1954015497699602</v>
      </c>
      <c r="AK159" s="1136">
        <f t="shared" si="180"/>
        <v>0.14671857763667975</v>
      </c>
      <c r="AR159" s="1132">
        <v>12</v>
      </c>
      <c r="AS159" s="44">
        <v>258</v>
      </c>
      <c r="AT159" s="1135">
        <f t="shared" si="152"/>
        <v>7.3288788797040816E-2</v>
      </c>
      <c r="AU159" s="1135">
        <f t="shared" si="150"/>
        <v>6.3319388175895469E-2</v>
      </c>
      <c r="AV159" s="1132">
        <f t="shared" si="153"/>
        <v>11.5</v>
      </c>
      <c r="AW159" s="1133">
        <f t="shared" si="190"/>
        <v>-7.5</v>
      </c>
      <c r="AX159" s="186">
        <f t="shared" si="181"/>
        <v>2.2329293352520989</v>
      </c>
      <c r="AY159" s="40">
        <f t="shared" si="182"/>
        <v>1.1954015497699602</v>
      </c>
      <c r="AZ159" s="13">
        <f t="shared" si="183"/>
        <v>54.068418809910995</v>
      </c>
      <c r="BA159" s="1132">
        <f t="shared" si="191"/>
        <v>1</v>
      </c>
      <c r="BB159" s="1132">
        <f t="shared" si="192"/>
        <v>1</v>
      </c>
      <c r="BC159" s="187">
        <f t="shared" si="193"/>
        <v>1.1954015497699602</v>
      </c>
      <c r="BD159" s="1136">
        <f t="shared" si="184"/>
        <v>0.14671857763667975</v>
      </c>
      <c r="BG159" s="1132"/>
      <c r="BH159" s="1132"/>
      <c r="BI159" s="1132"/>
    </row>
    <row r="160" spans="1:61" x14ac:dyDescent="0.2">
      <c r="A160" s="1135">
        <v>8.9868097286685419E-2</v>
      </c>
      <c r="B160" s="1135">
        <v>5.0025270580893011E-2</v>
      </c>
      <c r="C160" s="1135"/>
      <c r="D160" s="1135">
        <v>7.7253620872293427E-2</v>
      </c>
      <c r="E160" s="187">
        <v>6.305265384332652E-2</v>
      </c>
      <c r="F160" s="187"/>
      <c r="G160" s="187">
        <v>7.3288788797040816E-2</v>
      </c>
      <c r="H160" s="187">
        <v>6.3319388175895469E-2</v>
      </c>
      <c r="I160" s="187"/>
      <c r="J160" s="187">
        <v>6.7366697172583118E-2</v>
      </c>
      <c r="K160" s="187">
        <v>6.6547854149607483E-2</v>
      </c>
      <c r="L160" s="187"/>
      <c r="M160" s="187">
        <v>7.6279829391812284E-2</v>
      </c>
      <c r="N160" s="187">
        <v>6.3968728424593002E-2</v>
      </c>
      <c r="O160" s="187"/>
      <c r="P160" s="187">
        <v>8.2505811797691897E-2</v>
      </c>
      <c r="Q160" s="187">
        <v>5.5985572810778268E-2</v>
      </c>
      <c r="R160" s="187"/>
      <c r="S160" s="187">
        <v>7.5002510362145031E-2</v>
      </c>
      <c r="T160" s="187">
        <v>6.25680721590407E-2</v>
      </c>
      <c r="U160" s="187"/>
      <c r="V160" s="1138">
        <f t="shared" si="174"/>
        <v>7.3288788797040816E-2</v>
      </c>
      <c r="W160" s="1138">
        <f t="shared" si="175"/>
        <v>6.3319388175895469E-2</v>
      </c>
      <c r="Y160" s="1132">
        <v>13</v>
      </c>
      <c r="Z160" s="44">
        <v>258</v>
      </c>
      <c r="AA160" s="1135">
        <f t="shared" si="185"/>
        <v>7.3288788797040816E-2</v>
      </c>
      <c r="AB160" s="1135">
        <f t="shared" si="176"/>
        <v>6.3319388175895469E-2</v>
      </c>
      <c r="AC160" s="1132">
        <f t="shared" si="151"/>
        <v>12.5</v>
      </c>
      <c r="AD160" s="1133">
        <f t="shared" si="186"/>
        <v>7.5</v>
      </c>
      <c r="AE160" s="186">
        <f t="shared" si="177"/>
        <v>2.2329293352520989</v>
      </c>
      <c r="AF160" s="40">
        <f t="shared" si="178"/>
        <v>1.2314018803266913</v>
      </c>
      <c r="AG160" s="13">
        <f t="shared" si="179"/>
        <v>54.068418809910995</v>
      </c>
      <c r="AH160" s="1132">
        <f t="shared" si="187"/>
        <v>1</v>
      </c>
      <c r="AI160" s="1132">
        <f t="shared" si="188"/>
        <v>1</v>
      </c>
      <c r="AJ160" s="187">
        <f t="shared" si="189"/>
        <v>1.2314018803266913</v>
      </c>
      <c r="AK160" s="1136">
        <f t="shared" si="180"/>
        <v>0.14935699825947568</v>
      </c>
      <c r="AR160" s="1132">
        <v>13</v>
      </c>
      <c r="AS160" s="44">
        <v>258</v>
      </c>
      <c r="AT160" s="1135">
        <f t="shared" si="152"/>
        <v>7.3288788797040816E-2</v>
      </c>
      <c r="AU160" s="1135">
        <f t="shared" si="150"/>
        <v>6.3319388175895469E-2</v>
      </c>
      <c r="AV160" s="1132">
        <f t="shared" si="153"/>
        <v>12.5</v>
      </c>
      <c r="AW160" s="1133">
        <f t="shared" si="190"/>
        <v>7.5</v>
      </c>
      <c r="AX160" s="186">
        <f t="shared" si="181"/>
        <v>2.2329293352520989</v>
      </c>
      <c r="AY160" s="40">
        <f t="shared" si="182"/>
        <v>1.2314018803266913</v>
      </c>
      <c r="AZ160" s="13">
        <f t="shared" si="183"/>
        <v>54.068418809910995</v>
      </c>
      <c r="BA160" s="1132">
        <f t="shared" si="191"/>
        <v>1</v>
      </c>
      <c r="BB160" s="1132">
        <f t="shared" si="192"/>
        <v>1</v>
      </c>
      <c r="BC160" s="187">
        <f t="shared" si="193"/>
        <v>1.2314018803266913</v>
      </c>
      <c r="BD160" s="1136">
        <f t="shared" si="184"/>
        <v>0.14935699825947568</v>
      </c>
      <c r="BG160" s="1132"/>
      <c r="BH160" s="1132"/>
      <c r="BI160" s="1132"/>
    </row>
    <row r="161" spans="1:61" x14ac:dyDescent="0.2">
      <c r="A161" s="1135">
        <v>8.1437231720415157E-2</v>
      </c>
      <c r="B161" s="1135">
        <v>4.4723956286632602E-2</v>
      </c>
      <c r="C161" s="1135"/>
      <c r="D161" s="1135">
        <v>6.7001083614290413E-2</v>
      </c>
      <c r="E161" s="187">
        <v>5.8409485696239966E-2</v>
      </c>
      <c r="F161" s="187"/>
      <c r="G161" s="187">
        <v>7.3238120140037763E-2</v>
      </c>
      <c r="H161" s="187">
        <v>5.7962204765192094E-2</v>
      </c>
      <c r="I161" s="187"/>
      <c r="J161" s="187">
        <v>6.2207986127835777E-2</v>
      </c>
      <c r="K161" s="187">
        <v>6.3060546216463578E-2</v>
      </c>
      <c r="L161" s="187"/>
      <c r="M161" s="187">
        <v>6.9216152178575879E-2</v>
      </c>
      <c r="N161" s="187">
        <v>5.6833245842037264E-2</v>
      </c>
      <c r="O161" s="187"/>
      <c r="P161" s="187">
        <v>7.7272121949788733E-2</v>
      </c>
      <c r="Q161" s="187">
        <v>5.1748402619072563E-2</v>
      </c>
      <c r="R161" s="187"/>
      <c r="S161" s="187">
        <v>7.2353876997172079E-2</v>
      </c>
      <c r="T161" s="187">
        <v>6.0762100085272656E-2</v>
      </c>
      <c r="U161" s="187"/>
      <c r="V161" s="1138">
        <f t="shared" si="174"/>
        <v>7.3238120140037763E-2</v>
      </c>
      <c r="W161" s="1138">
        <f t="shared" si="175"/>
        <v>5.7962204765192094E-2</v>
      </c>
      <c r="Y161" s="1132">
        <v>14</v>
      </c>
      <c r="Z161" s="44">
        <v>258</v>
      </c>
      <c r="AA161" s="1135">
        <f t="shared" si="185"/>
        <v>7.3238120140037763E-2</v>
      </c>
      <c r="AB161" s="1135">
        <f t="shared" si="176"/>
        <v>5.7962204765192094E-2</v>
      </c>
      <c r="AC161" s="1132">
        <f t="shared" si="151"/>
        <v>13.5</v>
      </c>
      <c r="AD161" s="1133">
        <f t="shared" si="186"/>
        <v>22.5</v>
      </c>
      <c r="AE161" s="186">
        <f t="shared" si="177"/>
        <v>2.2329293352520989</v>
      </c>
      <c r="AF161" s="40">
        <f t="shared" si="178"/>
        <v>1.2728734215443354</v>
      </c>
      <c r="AG161" s="13">
        <f t="shared" si="179"/>
        <v>48.859891535089147</v>
      </c>
      <c r="AH161" s="1132">
        <f t="shared" si="187"/>
        <v>1</v>
      </c>
      <c r="AI161" s="1132">
        <f t="shared" si="188"/>
        <v>1</v>
      </c>
      <c r="AJ161" s="187">
        <f t="shared" si="189"/>
        <v>1.2728734215443354</v>
      </c>
      <c r="AK161" s="1136">
        <f t="shared" si="180"/>
        <v>0.1474748001381713</v>
      </c>
      <c r="AR161" s="1132">
        <v>14</v>
      </c>
      <c r="AS161" s="44">
        <v>258</v>
      </c>
      <c r="AT161" s="1135">
        <f t="shared" si="152"/>
        <v>7.3238120140037763E-2</v>
      </c>
      <c r="AU161" s="1135">
        <f t="shared" si="150"/>
        <v>5.7962204765192094E-2</v>
      </c>
      <c r="AV161" s="1132">
        <f t="shared" si="153"/>
        <v>13.5</v>
      </c>
      <c r="AW161" s="1133">
        <f t="shared" si="190"/>
        <v>22.5</v>
      </c>
      <c r="AX161" s="186">
        <f t="shared" si="181"/>
        <v>2.2329293352520989</v>
      </c>
      <c r="AY161" s="40">
        <f t="shared" si="182"/>
        <v>1.2728734215443354</v>
      </c>
      <c r="AZ161" s="13">
        <f t="shared" si="183"/>
        <v>48.859891535089147</v>
      </c>
      <c r="BA161" s="1132">
        <f t="shared" si="191"/>
        <v>1</v>
      </c>
      <c r="BB161" s="1132">
        <f t="shared" si="192"/>
        <v>1</v>
      </c>
      <c r="BC161" s="187">
        <f t="shared" si="193"/>
        <v>1.2728734215443354</v>
      </c>
      <c r="BD161" s="1136">
        <f t="shared" si="184"/>
        <v>0.1474748001381713</v>
      </c>
      <c r="BG161" s="1132"/>
      <c r="BH161" s="1132"/>
      <c r="BI161" s="1132"/>
    </row>
    <row r="162" spans="1:61" x14ac:dyDescent="0.2">
      <c r="A162" s="1135">
        <v>6.6585206226427301E-2</v>
      </c>
      <c r="B162" s="1135">
        <v>3.9106290452938001E-2</v>
      </c>
      <c r="C162" s="1135"/>
      <c r="D162" s="1135">
        <v>5.664433559986902E-2</v>
      </c>
      <c r="E162" s="187">
        <v>4.8964903438616661E-2</v>
      </c>
      <c r="F162" s="187"/>
      <c r="G162" s="187">
        <v>5.6271368288733845E-2</v>
      </c>
      <c r="H162" s="187">
        <v>5.1396428895406632E-2</v>
      </c>
      <c r="I162" s="187"/>
      <c r="J162" s="187">
        <v>5.6264149125764613E-2</v>
      </c>
      <c r="K162" s="187">
        <v>5.2227734694860597E-2</v>
      </c>
      <c r="L162" s="187"/>
      <c r="M162" s="187">
        <v>5.5965949616533256E-2</v>
      </c>
      <c r="N162" s="187">
        <v>5.4017349005985267E-2</v>
      </c>
      <c r="O162" s="187"/>
      <c r="P162" s="187">
        <v>6.4606383274890655E-2</v>
      </c>
      <c r="Q162" s="187">
        <v>4.4881309817638396E-2</v>
      </c>
      <c r="R162" s="187"/>
      <c r="S162" s="187">
        <v>5.597005310038923E-2</v>
      </c>
      <c r="T162" s="187">
        <v>5.3115938570446844E-2</v>
      </c>
      <c r="U162" s="187"/>
      <c r="V162" s="1138">
        <f t="shared" si="174"/>
        <v>5.6271368288733845E-2</v>
      </c>
      <c r="W162" s="1138">
        <f t="shared" si="175"/>
        <v>5.1396428895406632E-2</v>
      </c>
      <c r="Y162" s="1132">
        <v>15</v>
      </c>
      <c r="Z162" s="44">
        <v>258</v>
      </c>
      <c r="AA162" s="1135">
        <f t="shared" si="185"/>
        <v>5.6271368288733845E-2</v>
      </c>
      <c r="AB162" s="1135">
        <f t="shared" si="176"/>
        <v>5.1396428895406632E-2</v>
      </c>
      <c r="AC162" s="1132">
        <f t="shared" si="151"/>
        <v>14.5</v>
      </c>
      <c r="AD162" s="1133">
        <f t="shared" si="186"/>
        <v>37.5</v>
      </c>
      <c r="AE162" s="186">
        <f t="shared" si="177"/>
        <v>2.2329293352520989</v>
      </c>
      <c r="AF162" s="40">
        <f t="shared" si="178"/>
        <v>1.3283669464375991</v>
      </c>
      <c r="AG162" s="13">
        <f t="shared" si="179"/>
        <v>40.070312072164754</v>
      </c>
      <c r="AH162" s="1132">
        <f t="shared" si="187"/>
        <v>1</v>
      </c>
      <c r="AI162" s="1132">
        <f t="shared" si="188"/>
        <v>1</v>
      </c>
      <c r="AJ162" s="187">
        <f t="shared" si="189"/>
        <v>1.3283669464375991</v>
      </c>
      <c r="AK162" s="1136">
        <f t="shared" si="180"/>
        <v>0.12265265594961253</v>
      </c>
      <c r="AR162" s="1132">
        <v>15</v>
      </c>
      <c r="AS162" s="44">
        <v>258</v>
      </c>
      <c r="AT162" s="1135">
        <f t="shared" si="152"/>
        <v>5.6271368288733845E-2</v>
      </c>
      <c r="AU162" s="1135">
        <f t="shared" si="150"/>
        <v>5.1396428895406632E-2</v>
      </c>
      <c r="AV162" s="1132">
        <f t="shared" si="153"/>
        <v>14.5</v>
      </c>
      <c r="AW162" s="1133">
        <f t="shared" si="190"/>
        <v>37.5</v>
      </c>
      <c r="AX162" s="186">
        <f t="shared" si="181"/>
        <v>2.2329293352520989</v>
      </c>
      <c r="AY162" s="40">
        <f t="shared" si="182"/>
        <v>1.3283669464375991</v>
      </c>
      <c r="AZ162" s="13">
        <f t="shared" si="183"/>
        <v>40.070312072164754</v>
      </c>
      <c r="BA162" s="1132">
        <f t="shared" si="191"/>
        <v>1</v>
      </c>
      <c r="BB162" s="1132">
        <f t="shared" si="192"/>
        <v>1</v>
      </c>
      <c r="BC162" s="187">
        <f t="shared" si="193"/>
        <v>1.3283669464375991</v>
      </c>
      <c r="BD162" s="1136">
        <f t="shared" si="184"/>
        <v>0.12265265594961253</v>
      </c>
      <c r="BG162" s="1132"/>
      <c r="BH162" s="1132"/>
      <c r="BI162" s="1132"/>
    </row>
    <row r="163" spans="1:61" x14ac:dyDescent="0.2">
      <c r="A163" s="1135">
        <v>4.4422160799626381E-2</v>
      </c>
      <c r="B163" s="1135">
        <v>3.3867081982370192E-2</v>
      </c>
      <c r="C163" s="1135"/>
      <c r="D163" s="1135">
        <v>4.0122511357137833E-2</v>
      </c>
      <c r="E163" s="187">
        <v>3.9648868686545699E-2</v>
      </c>
      <c r="F163" s="187"/>
      <c r="G163" s="187">
        <v>3.577825387430332E-2</v>
      </c>
      <c r="H163" s="187">
        <v>4.158015246728787E-2</v>
      </c>
      <c r="I163" s="187"/>
      <c r="J163" s="187">
        <v>3.6525215548383984E-2</v>
      </c>
      <c r="K163" s="187">
        <v>3.8827609460045306E-2</v>
      </c>
      <c r="L163" s="187"/>
      <c r="M163" s="187">
        <v>3.7361860970175839E-2</v>
      </c>
      <c r="N163" s="187">
        <v>3.9119885107818435E-2</v>
      </c>
      <c r="O163" s="187"/>
      <c r="P163" s="187">
        <v>4.0340737315909314E-2</v>
      </c>
      <c r="Q163" s="187">
        <v>3.6246113899171477E-2</v>
      </c>
      <c r="R163" s="187"/>
      <c r="S163" s="187">
        <v>3.3891453177641383E-2</v>
      </c>
      <c r="T163" s="187">
        <v>4.0287407378414068E-2</v>
      </c>
      <c r="U163" s="187"/>
      <c r="V163" s="1138">
        <f t="shared" si="174"/>
        <v>3.577825387430332E-2</v>
      </c>
      <c r="W163" s="1138">
        <f t="shared" si="175"/>
        <v>4.158015246728787E-2</v>
      </c>
      <c r="Y163" s="1132">
        <v>16</v>
      </c>
      <c r="Z163" s="44">
        <v>258</v>
      </c>
      <c r="AA163" s="1135">
        <f t="shared" si="185"/>
        <v>3.577825387430332E-2</v>
      </c>
      <c r="AB163" s="1135">
        <f t="shared" si="176"/>
        <v>4.158015246728787E-2</v>
      </c>
      <c r="AC163" s="1132">
        <f t="shared" si="151"/>
        <v>15.5</v>
      </c>
      <c r="AD163" s="1133">
        <f t="shared" si="186"/>
        <v>52.5</v>
      </c>
      <c r="AE163" s="186">
        <f t="shared" si="177"/>
        <v>2.2329293352520989</v>
      </c>
      <c r="AF163" s="40">
        <f t="shared" si="178"/>
        <v>1.4183699361393942</v>
      </c>
      <c r="AG163" s="13">
        <f t="shared" si="179"/>
        <v>29.277577473465715</v>
      </c>
      <c r="AH163" s="1132">
        <f t="shared" si="187"/>
        <v>1</v>
      </c>
      <c r="AI163" s="1132">
        <f t="shared" si="188"/>
        <v>1</v>
      </c>
      <c r="AJ163" s="187">
        <f t="shared" si="189"/>
        <v>1.4183699361393942</v>
      </c>
      <c r="AK163" s="1136">
        <f t="shared" si="180"/>
        <v>8.9273272641153131E-2</v>
      </c>
      <c r="AR163" s="1132">
        <v>16</v>
      </c>
      <c r="AS163" s="44">
        <v>258</v>
      </c>
      <c r="AT163" s="1135">
        <f t="shared" si="152"/>
        <v>3.577825387430332E-2</v>
      </c>
      <c r="AU163" s="1135">
        <f t="shared" si="150"/>
        <v>4.158015246728787E-2</v>
      </c>
      <c r="AV163" s="1132">
        <f t="shared" si="153"/>
        <v>15.5</v>
      </c>
      <c r="AW163" s="1133">
        <f t="shared" si="190"/>
        <v>52.5</v>
      </c>
      <c r="AX163" s="186">
        <f t="shared" si="181"/>
        <v>2.2329293352520989</v>
      </c>
      <c r="AY163" s="40">
        <f t="shared" si="182"/>
        <v>1.4183699361393942</v>
      </c>
      <c r="AZ163" s="13">
        <f t="shared" si="183"/>
        <v>29.277577473465715</v>
      </c>
      <c r="BA163" s="1132">
        <f t="shared" si="191"/>
        <v>1</v>
      </c>
      <c r="BB163" s="1132">
        <f t="shared" si="192"/>
        <v>1</v>
      </c>
      <c r="BC163" s="187">
        <f t="shared" si="193"/>
        <v>1.4183699361393942</v>
      </c>
      <c r="BD163" s="1136">
        <f t="shared" si="184"/>
        <v>8.9273272641153131E-2</v>
      </c>
      <c r="BG163" s="1132"/>
      <c r="BH163" s="1132"/>
      <c r="BI163" s="1132"/>
    </row>
    <row r="164" spans="1:61" x14ac:dyDescent="0.2">
      <c r="A164" s="1135">
        <v>2.0893638332456187E-2</v>
      </c>
      <c r="B164" s="1135">
        <v>2.1776866502715965E-2</v>
      </c>
      <c r="C164" s="1135"/>
      <c r="D164" s="1135">
        <v>1.487635491763103E-2</v>
      </c>
      <c r="E164" s="187">
        <v>2.6333884287313349E-2</v>
      </c>
      <c r="F164" s="187"/>
      <c r="G164" s="187">
        <v>1.4737933701962011E-2</v>
      </c>
      <c r="H164" s="187">
        <v>2.6835580044555524E-2</v>
      </c>
      <c r="I164" s="187"/>
      <c r="J164" s="187">
        <v>1.7383555705409181E-2</v>
      </c>
      <c r="K164" s="187">
        <v>2.2946871537979883E-2</v>
      </c>
      <c r="L164" s="187"/>
      <c r="M164" s="187">
        <v>1.3546001240868338E-2</v>
      </c>
      <c r="N164" s="187">
        <v>2.6980716061288615E-2</v>
      </c>
      <c r="O164" s="187"/>
      <c r="P164" s="187">
        <v>1.5848885965968462E-2</v>
      </c>
      <c r="Q164" s="187">
        <v>2.3848764136083934E-2</v>
      </c>
      <c r="R164" s="187"/>
      <c r="S164" s="187">
        <v>1.1487231323243592E-2</v>
      </c>
      <c r="T164" s="187">
        <v>2.7439660829558371E-2</v>
      </c>
      <c r="U164" s="187"/>
      <c r="V164" s="1138">
        <f t="shared" si="174"/>
        <v>1.4737933701962011E-2</v>
      </c>
      <c r="W164" s="1138">
        <f t="shared" si="175"/>
        <v>2.6835580044555524E-2</v>
      </c>
      <c r="Y164" s="1132">
        <v>17</v>
      </c>
      <c r="Z164" s="44">
        <v>258</v>
      </c>
      <c r="AA164" s="1135">
        <f t="shared" si="185"/>
        <v>1.4737933701962011E-2</v>
      </c>
      <c r="AB164" s="1135">
        <f t="shared" si="176"/>
        <v>2.6835580044555524E-2</v>
      </c>
      <c r="AC164" s="1132">
        <f t="shared" si="151"/>
        <v>16.5</v>
      </c>
      <c r="AD164" s="1133">
        <f t="shared" si="186"/>
        <v>67.5</v>
      </c>
      <c r="AE164" s="186">
        <f t="shared" si="177"/>
        <v>2.2329293352520989</v>
      </c>
      <c r="AF164" s="40">
        <f t="shared" si="178"/>
        <v>1.6196168874098997</v>
      </c>
      <c r="AG164" s="13">
        <f t="shared" si="179"/>
        <v>17.432635016862367</v>
      </c>
      <c r="AH164" s="1132">
        <f t="shared" si="187"/>
        <v>1</v>
      </c>
      <c r="AI164" s="1132">
        <f t="shared" si="188"/>
        <v>1</v>
      </c>
      <c r="AJ164" s="187">
        <f t="shared" si="189"/>
        <v>1.6196168874098997</v>
      </c>
      <c r="AK164" s="1136">
        <f t="shared" si="180"/>
        <v>4.8539161350257612E-2</v>
      </c>
      <c r="AR164" s="1132">
        <v>17</v>
      </c>
      <c r="AS164" s="44">
        <v>258</v>
      </c>
      <c r="AT164" s="1135">
        <f t="shared" si="152"/>
        <v>1.4737933701962011E-2</v>
      </c>
      <c r="AU164" s="1135">
        <f t="shared" si="150"/>
        <v>2.6835580044555524E-2</v>
      </c>
      <c r="AV164" s="1132">
        <f t="shared" si="153"/>
        <v>16.5</v>
      </c>
      <c r="AW164" s="1133">
        <f t="shared" si="190"/>
        <v>67.5</v>
      </c>
      <c r="AX164" s="186">
        <f t="shared" si="181"/>
        <v>2.2329293352520989</v>
      </c>
      <c r="AY164" s="40">
        <f t="shared" si="182"/>
        <v>1.6196168874098997</v>
      </c>
      <c r="AZ164" s="13">
        <f t="shared" si="183"/>
        <v>17.432635016862367</v>
      </c>
      <c r="BA164" s="1132">
        <f t="shared" si="191"/>
        <v>1</v>
      </c>
      <c r="BB164" s="1132">
        <f t="shared" si="192"/>
        <v>1</v>
      </c>
      <c r="BC164" s="187">
        <f t="shared" si="193"/>
        <v>1.6196168874098997</v>
      </c>
      <c r="BD164" s="1136">
        <f t="shared" si="184"/>
        <v>4.8539161350257612E-2</v>
      </c>
      <c r="BG164" s="1132"/>
      <c r="BH164" s="1132"/>
      <c r="BI164" s="1132"/>
    </row>
    <row r="165" spans="1:61" x14ac:dyDescent="0.2">
      <c r="A165" s="1135">
        <v>9.998865169233062E-4</v>
      </c>
      <c r="B165" s="1135">
        <v>6.288490890945183E-3</v>
      </c>
      <c r="C165" s="1135"/>
      <c r="D165" s="1135">
        <v>9.5590854344286991E-4</v>
      </c>
      <c r="E165" s="187">
        <v>6.7196639601643455E-3</v>
      </c>
      <c r="F165" s="187"/>
      <c r="G165" s="187">
        <v>4.0624499006861839E-4</v>
      </c>
      <c r="H165" s="187">
        <v>5.1718416278936129E-3</v>
      </c>
      <c r="I165" s="187"/>
      <c r="J165" s="187">
        <v>5.6692837531910883E-3</v>
      </c>
      <c r="K165" s="187">
        <v>9.3299937382592402E-3</v>
      </c>
      <c r="L165" s="187"/>
      <c r="M165" s="187">
        <v>6.8567087957865881E-4</v>
      </c>
      <c r="N165" s="187">
        <v>6.0077158997169158E-3</v>
      </c>
      <c r="O165" s="187"/>
      <c r="P165" s="187">
        <v>9.630349629099667E-4</v>
      </c>
      <c r="Q165" s="187">
        <v>5.7345526900087155E-3</v>
      </c>
      <c r="R165" s="187"/>
      <c r="S165" s="187">
        <v>1.2531567195753325E-3</v>
      </c>
      <c r="T165" s="187">
        <v>5.8364917759586559E-3</v>
      </c>
      <c r="U165" s="187"/>
      <c r="V165" s="1138">
        <f t="shared" si="174"/>
        <v>4.0624499006861839E-4</v>
      </c>
      <c r="W165" s="1138">
        <f t="shared" si="175"/>
        <v>5.1718416278936129E-3</v>
      </c>
      <c r="Y165" s="1132">
        <v>18</v>
      </c>
      <c r="Z165" s="44">
        <v>258</v>
      </c>
      <c r="AA165" s="1135">
        <f t="shared" si="185"/>
        <v>4.0624499006861839E-4</v>
      </c>
      <c r="AB165" s="1135">
        <f t="shared" si="176"/>
        <v>5.1718416278936129E-3</v>
      </c>
      <c r="AC165" s="1132">
        <f t="shared" si="151"/>
        <v>17.5</v>
      </c>
      <c r="AD165" s="1133">
        <f t="shared" si="186"/>
        <v>82.5</v>
      </c>
      <c r="AE165" s="186">
        <f t="shared" si="177"/>
        <v>2.2329293352520989</v>
      </c>
      <c r="AF165" s="40">
        <f t="shared" si="178"/>
        <v>2.7645837486858129</v>
      </c>
      <c r="AG165" s="13">
        <f t="shared" si="179"/>
        <v>5.0638888232511432</v>
      </c>
      <c r="AH165" s="1132">
        <f t="shared" si="187"/>
        <v>1</v>
      </c>
      <c r="AI165" s="1132">
        <f t="shared" si="188"/>
        <v>1</v>
      </c>
      <c r="AJ165" s="187">
        <f t="shared" si="189"/>
        <v>2.7645837486858129</v>
      </c>
      <c r="AK165" s="1136">
        <f t="shared" si="180"/>
        <v>5.8205188508802796E-3</v>
      </c>
      <c r="AR165" s="1132">
        <v>18</v>
      </c>
      <c r="AS165" s="44">
        <v>258</v>
      </c>
      <c r="AT165" s="1135">
        <f t="shared" si="152"/>
        <v>4.0624499006861839E-4</v>
      </c>
      <c r="AU165" s="1135">
        <f t="shared" si="150"/>
        <v>5.1718416278936129E-3</v>
      </c>
      <c r="AV165" s="1132">
        <f t="shared" si="153"/>
        <v>17.5</v>
      </c>
      <c r="AW165" s="1133">
        <f t="shared" si="190"/>
        <v>82.5</v>
      </c>
      <c r="AX165" s="186">
        <f t="shared" si="181"/>
        <v>2.2329293352520989</v>
      </c>
      <c r="AY165" s="40">
        <f t="shared" si="182"/>
        <v>2.7645837486858129</v>
      </c>
      <c r="AZ165" s="13">
        <f t="shared" si="183"/>
        <v>5.0638888232511432</v>
      </c>
      <c r="BA165" s="1132">
        <f t="shared" si="191"/>
        <v>1</v>
      </c>
      <c r="BB165" s="1132">
        <f t="shared" si="192"/>
        <v>1</v>
      </c>
      <c r="BC165" s="187">
        <f t="shared" si="193"/>
        <v>2.7645837486858129</v>
      </c>
      <c r="BD165" s="1136">
        <f t="shared" si="184"/>
        <v>5.8205188508802796E-3</v>
      </c>
      <c r="BG165" s="1132"/>
      <c r="BH165" s="1132"/>
      <c r="BI165" s="1132"/>
    </row>
    <row r="166" spans="1:61" x14ac:dyDescent="0.2">
      <c r="A166" s="1135">
        <v>0</v>
      </c>
      <c r="B166" s="1135">
        <v>5.8224209711811222E-6</v>
      </c>
      <c r="C166" s="1135"/>
      <c r="D166" s="1135">
        <v>0</v>
      </c>
      <c r="E166" s="187">
        <v>1.5438630580503958E-5</v>
      </c>
      <c r="F166" s="187"/>
      <c r="G166" s="187">
        <v>0</v>
      </c>
      <c r="H166" s="187">
        <v>1.3694231622452415E-5</v>
      </c>
      <c r="I166" s="187"/>
      <c r="J166" s="187">
        <v>9.6334473291270179E-5</v>
      </c>
      <c r="K166" s="187">
        <v>1.5461682963248393E-3</v>
      </c>
      <c r="L166" s="187"/>
      <c r="M166" s="187">
        <v>1.4079484180259937E-6</v>
      </c>
      <c r="N166" s="187">
        <v>1.5487432598285931E-5</v>
      </c>
      <c r="O166" s="187"/>
      <c r="P166" s="187">
        <v>1.3077685776869488E-6</v>
      </c>
      <c r="Q166" s="187">
        <v>1.7000991509930339E-5</v>
      </c>
      <c r="R166" s="187"/>
      <c r="S166" s="187">
        <v>1.8851483024718499E-6</v>
      </c>
      <c r="T166" s="187">
        <v>3.0162372839549599E-5</v>
      </c>
      <c r="U166" s="187"/>
      <c r="V166" s="1138">
        <f t="shared" si="174"/>
        <v>0</v>
      </c>
      <c r="W166" s="1138">
        <f t="shared" si="175"/>
        <v>1.3694231622452415E-5</v>
      </c>
      <c r="Y166" s="1132">
        <v>19</v>
      </c>
      <c r="Z166" s="44">
        <v>258</v>
      </c>
      <c r="AA166" s="1135">
        <f t="shared" si="185"/>
        <v>0</v>
      </c>
      <c r="AB166" s="1135">
        <f t="shared" si="176"/>
        <v>1.3694231622452415E-5</v>
      </c>
      <c r="AC166" s="1132">
        <f t="shared" si="151"/>
        <v>18.5</v>
      </c>
      <c r="AD166" s="1133">
        <f t="shared" si="186"/>
        <v>97.5</v>
      </c>
      <c r="AE166" s="186">
        <f t="shared" si="177"/>
        <v>2.2329293352520989</v>
      </c>
      <c r="AF166" s="40">
        <f t="shared" si="178"/>
        <v>0.10342669407312183</v>
      </c>
      <c r="AG166" s="13">
        <f t="shared" si="179"/>
        <v>-7.4991793490805376</v>
      </c>
      <c r="AH166" s="1132">
        <f t="shared" si="187"/>
        <v>0</v>
      </c>
      <c r="AI166" s="1132">
        <f t="shared" si="188"/>
        <v>1</v>
      </c>
      <c r="AJ166" s="187">
        <f t="shared" si="189"/>
        <v>0</v>
      </c>
      <c r="AK166" s="1136">
        <f t="shared" si="180"/>
        <v>1.2412876037759991E-5</v>
      </c>
      <c r="AR166" s="1132">
        <v>19</v>
      </c>
      <c r="AS166" s="44">
        <v>258</v>
      </c>
      <c r="AT166" s="1135">
        <f t="shared" si="152"/>
        <v>0</v>
      </c>
      <c r="AU166" s="1135">
        <f t="shared" si="150"/>
        <v>1.3694231622452415E-5</v>
      </c>
      <c r="AV166" s="1132">
        <f t="shared" si="153"/>
        <v>18.5</v>
      </c>
      <c r="AW166" s="1133">
        <f t="shared" si="190"/>
        <v>97.5</v>
      </c>
      <c r="AX166" s="186">
        <f t="shared" si="181"/>
        <v>2.2329293352520989</v>
      </c>
      <c r="AY166" s="40">
        <f t="shared" si="182"/>
        <v>0.10342669407312183</v>
      </c>
      <c r="AZ166" s="13">
        <f t="shared" si="183"/>
        <v>-7.4991793490805376</v>
      </c>
      <c r="BA166" s="1132">
        <f t="shared" si="191"/>
        <v>0</v>
      </c>
      <c r="BB166" s="1132">
        <f t="shared" si="192"/>
        <v>1</v>
      </c>
      <c r="BC166" s="187">
        <f t="shared" si="193"/>
        <v>0</v>
      </c>
      <c r="BD166" s="1136">
        <f t="shared" si="184"/>
        <v>1.2412876037759991E-5</v>
      </c>
      <c r="BG166" s="1132"/>
      <c r="BH166" s="1132"/>
      <c r="BI166" s="1132"/>
    </row>
    <row r="167" spans="1:61" x14ac:dyDescent="0.2">
      <c r="A167" s="1135">
        <v>0</v>
      </c>
      <c r="B167" s="1135">
        <v>0</v>
      </c>
      <c r="C167" s="1135"/>
      <c r="D167" s="1135">
        <v>0</v>
      </c>
      <c r="E167" s="187">
        <v>0</v>
      </c>
      <c r="F167" s="187"/>
      <c r="G167" s="187">
        <v>0</v>
      </c>
      <c r="H167" s="187">
        <v>0</v>
      </c>
      <c r="I167" s="187"/>
      <c r="J167" s="187">
        <v>0</v>
      </c>
      <c r="K167" s="187">
        <v>0</v>
      </c>
      <c r="L167" s="187"/>
      <c r="M167" s="187">
        <v>0</v>
      </c>
      <c r="N167" s="187">
        <v>0</v>
      </c>
      <c r="O167" s="187"/>
      <c r="P167" s="187">
        <v>0</v>
      </c>
      <c r="Q167" s="187">
        <v>0</v>
      </c>
      <c r="R167" s="187"/>
      <c r="S167" s="187">
        <v>0</v>
      </c>
      <c r="T167" s="187">
        <v>0</v>
      </c>
      <c r="U167" s="187"/>
      <c r="V167" s="1138">
        <f t="shared" si="174"/>
        <v>0</v>
      </c>
      <c r="W167" s="1138">
        <f t="shared" si="175"/>
        <v>0</v>
      </c>
      <c r="Y167" s="1132">
        <v>20</v>
      </c>
      <c r="Z167" s="44">
        <v>258</v>
      </c>
      <c r="AA167" s="1135">
        <f t="shared" si="185"/>
        <v>0</v>
      </c>
      <c r="AB167" s="1135">
        <f t="shared" si="176"/>
        <v>0</v>
      </c>
      <c r="AC167" s="1132">
        <f t="shared" si="151"/>
        <v>19.5</v>
      </c>
      <c r="AD167" s="1133">
        <f t="shared" si="186"/>
        <v>112.5</v>
      </c>
      <c r="AE167" s="186">
        <f t="shared" si="177"/>
        <v>2.2329293352520989</v>
      </c>
      <c r="AF167" s="40">
        <f t="shared" si="178"/>
        <v>0.78923536702931762</v>
      </c>
      <c r="AG167" s="13">
        <f t="shared" si="179"/>
        <v>-19.989171333431155</v>
      </c>
      <c r="AH167" s="1132">
        <f t="shared" si="187"/>
        <v>0</v>
      </c>
      <c r="AI167" s="1132">
        <f t="shared" si="188"/>
        <v>1</v>
      </c>
      <c r="AJ167" s="187">
        <f t="shared" si="189"/>
        <v>0</v>
      </c>
      <c r="AK167" s="1136">
        <f t="shared" si="180"/>
        <v>0</v>
      </c>
      <c r="AR167" s="1132">
        <v>20</v>
      </c>
      <c r="AS167" s="44">
        <v>258</v>
      </c>
      <c r="AT167" s="1135">
        <f t="shared" si="152"/>
        <v>0</v>
      </c>
      <c r="AU167" s="1135">
        <f t="shared" si="150"/>
        <v>0</v>
      </c>
      <c r="AV167" s="1132">
        <f t="shared" si="153"/>
        <v>19.5</v>
      </c>
      <c r="AW167" s="1133">
        <f t="shared" si="190"/>
        <v>112.5</v>
      </c>
      <c r="AX167" s="186">
        <f t="shared" si="181"/>
        <v>2.2329293352520989</v>
      </c>
      <c r="AY167" s="40">
        <f t="shared" si="182"/>
        <v>0.78923536702931762</v>
      </c>
      <c r="AZ167" s="13">
        <f t="shared" si="183"/>
        <v>-19.989171333431155</v>
      </c>
      <c r="BA167" s="1132">
        <f t="shared" si="191"/>
        <v>0</v>
      </c>
      <c r="BB167" s="1132">
        <f t="shared" si="192"/>
        <v>1</v>
      </c>
      <c r="BC167" s="187">
        <f t="shared" si="193"/>
        <v>0</v>
      </c>
      <c r="BD167" s="1136">
        <f t="shared" si="184"/>
        <v>0</v>
      </c>
      <c r="BG167" s="1132"/>
      <c r="BH167" s="1132"/>
      <c r="BI167" s="1132"/>
    </row>
    <row r="168" spans="1:61" x14ac:dyDescent="0.2">
      <c r="A168" s="1135"/>
      <c r="B168" s="1135"/>
      <c r="C168" s="1135"/>
      <c r="D168" s="1135"/>
      <c r="E168" s="187"/>
      <c r="F168" s="187"/>
      <c r="G168" s="187"/>
      <c r="H168" s="187"/>
      <c r="I168" s="187"/>
      <c r="J168" s="187"/>
      <c r="K168" s="187"/>
      <c r="L168" s="187"/>
      <c r="M168" s="187"/>
      <c r="N168" s="187"/>
      <c r="O168" s="187"/>
      <c r="P168" s="187"/>
      <c r="Q168" s="187"/>
      <c r="R168" s="187"/>
      <c r="S168" s="187"/>
      <c r="T168" s="187"/>
      <c r="U168" s="187"/>
      <c r="V168" s="1138"/>
      <c r="W168" s="1138"/>
      <c r="Y168" s="11"/>
      <c r="Z168" s="1139"/>
      <c r="AA168" s="11"/>
      <c r="AC168" s="1132">
        <f t="shared" si="151"/>
        <v>-0.5</v>
      </c>
      <c r="AF168" s="187"/>
      <c r="AK168" s="187">
        <f>SUM(AK152:AK167)</f>
        <v>1.0792925130384567</v>
      </c>
      <c r="AR168" s="11"/>
      <c r="AS168" s="1139"/>
      <c r="AT168" s="1135"/>
      <c r="AU168" s="1135"/>
      <c r="AV168" s="1132">
        <f t="shared" si="153"/>
        <v>-0.5</v>
      </c>
      <c r="AY168" s="40"/>
      <c r="BD168" s="187">
        <f>SUM(BD152:BD167)</f>
        <v>1.0792925130384567</v>
      </c>
      <c r="BG168" s="1132"/>
      <c r="BH168" s="1132"/>
      <c r="BI168" s="1132"/>
    </row>
    <row r="169" spans="1:61" x14ac:dyDescent="0.2">
      <c r="A169" s="1135" t="s">
        <v>1265</v>
      </c>
      <c r="B169" s="1135"/>
      <c r="C169" s="1135"/>
      <c r="D169" s="1135" t="s">
        <v>1265</v>
      </c>
      <c r="E169" s="187"/>
      <c r="F169" s="187"/>
      <c r="G169" s="187" t="s">
        <v>1265</v>
      </c>
      <c r="H169" s="187"/>
      <c r="I169" s="187"/>
      <c r="J169" s="187" t="s">
        <v>1265</v>
      </c>
      <c r="K169" s="187"/>
      <c r="L169" s="187"/>
      <c r="M169" s="187" t="s">
        <v>1265</v>
      </c>
      <c r="N169" s="187"/>
      <c r="O169" s="187"/>
      <c r="P169" s="187" t="s">
        <v>1265</v>
      </c>
      <c r="Q169" s="187"/>
      <c r="R169" s="187"/>
      <c r="S169" s="187" t="s">
        <v>1265</v>
      </c>
      <c r="T169" s="187"/>
      <c r="U169" s="187"/>
      <c r="V169" s="1138"/>
      <c r="W169" s="1138"/>
      <c r="Z169" s="44"/>
      <c r="AC169" s="1132">
        <f t="shared" si="151"/>
        <v>-0.5</v>
      </c>
      <c r="AS169" s="44"/>
      <c r="AT169" s="1135"/>
      <c r="AU169" s="1135"/>
      <c r="AV169" s="1132">
        <f t="shared" si="153"/>
        <v>-0.5</v>
      </c>
      <c r="AY169" s="40"/>
      <c r="BG169" s="1132"/>
      <c r="BH169" s="1132"/>
      <c r="BI169" s="1132"/>
    </row>
    <row r="170" spans="1:61" x14ac:dyDescent="0.2">
      <c r="A170" s="1135">
        <v>0</v>
      </c>
      <c r="B170" s="1135">
        <v>0</v>
      </c>
      <c r="C170" s="1135"/>
      <c r="D170" s="1135">
        <v>0</v>
      </c>
      <c r="E170" s="187">
        <v>0</v>
      </c>
      <c r="F170" s="187"/>
      <c r="G170" s="187">
        <v>0</v>
      </c>
      <c r="H170" s="187">
        <v>0</v>
      </c>
      <c r="I170" s="187"/>
      <c r="J170" s="187">
        <v>0</v>
      </c>
      <c r="K170" s="187">
        <v>0</v>
      </c>
      <c r="L170" s="187"/>
      <c r="M170" s="187">
        <v>0</v>
      </c>
      <c r="N170" s="187">
        <v>0</v>
      </c>
      <c r="O170" s="187"/>
      <c r="P170" s="187">
        <v>0</v>
      </c>
      <c r="Q170" s="187">
        <v>0</v>
      </c>
      <c r="R170" s="187"/>
      <c r="S170" s="187">
        <v>2.571937080131272E-6</v>
      </c>
      <c r="T170" s="187">
        <v>4.3722930362231624E-5</v>
      </c>
      <c r="U170" s="187"/>
      <c r="V170" s="1138">
        <f t="shared" ref="V170:V185" si="194">CHOOSE($B$1,A170,D170,G170,J170,M170,P170,S170)</f>
        <v>0</v>
      </c>
      <c r="W170" s="1138">
        <f t="shared" ref="W170:W185" si="195">CHOOSE($B$1,B170,E170,H170,K170,N170,Q170,T170)</f>
        <v>0</v>
      </c>
      <c r="Y170" s="1132">
        <v>5</v>
      </c>
      <c r="Z170" s="44">
        <v>288</v>
      </c>
      <c r="AA170" s="1135">
        <f>V170</f>
        <v>0</v>
      </c>
      <c r="AB170" s="1135">
        <f t="shared" ref="AB170:AB185" si="196">W170</f>
        <v>0</v>
      </c>
      <c r="AC170" s="1132">
        <f t="shared" si="151"/>
        <v>4.5</v>
      </c>
      <c r="AD170" s="1133">
        <f>15*(AC170-12)</f>
        <v>-112.5</v>
      </c>
      <c r="AE170" s="186">
        <f t="shared" ref="AE170:AE185" si="197">23.45*SIN(360*(284+Z170)/365/57.3)</f>
        <v>-9.5838777353520346</v>
      </c>
      <c r="AF170" s="40">
        <f t="shared" ref="AF170:AF185" si="198">((SIN(AE170/57.3)*SIN($B$2/57.3)*COS($Z$2/57.3))-SIN(AE170/57.3)*COS($B$2/57.3)*SIN($Z$2/57.3)*COS($Z$3/57.3)+COS(AE170/57.3)*COS($B$2/57.3)*COS($Z$2/57.3)*COS(AD170/57.3)+COS(AE170/57.3)*SIN($B$2/57.3)*SIN($Z$2/57.3)*COS($Z$3/57.3)*COS(AD170/57.3)+COS(AE170/57.3)*SIN($Z$2/57.3)*SIN($Z$3/57.3)*SIN(AD170/57.3))/(COS($B$2/57.3)*COS(AE170/57.3)*COS(AD170/57.3)+SIN($B$2/57.3)*SIN(AE170/57.3))</f>
        <v>2.1848448741364588</v>
      </c>
      <c r="AG170" s="13">
        <f t="shared" ref="AG170:AG185" si="199">57.3*ASIN(SIN($B$2/57.3)*SIN(AE170/57.3)+COS($B$2/57.3)*COS(AD170/57.3)*COS(AE170/57.6))</f>
        <v>-13.047712982884454</v>
      </c>
      <c r="AH170" s="1132">
        <f>IF(AG170&lt;0,0,1)</f>
        <v>0</v>
      </c>
      <c r="AI170" s="1132">
        <f>IF(AF170&lt;0,0,1)</f>
        <v>1</v>
      </c>
      <c r="AJ170" s="187">
        <f>AF170*AI170*AH170</f>
        <v>0</v>
      </c>
      <c r="AK170" s="1136">
        <f t="shared" ref="AK170:AK185" si="200">AA170*AJ170+((1+COS($Z$2/57.3))/2)*AB170+((1-COS($Z$2/57.3))/2)*(AA170+AB170)*0.2</f>
        <v>0</v>
      </c>
      <c r="AR170" s="1132">
        <v>5</v>
      </c>
      <c r="AS170" s="44">
        <v>288</v>
      </c>
      <c r="AT170" s="1135">
        <f t="shared" si="152"/>
        <v>0</v>
      </c>
      <c r="AU170" s="1135">
        <f t="shared" si="150"/>
        <v>0</v>
      </c>
      <c r="AV170" s="1132">
        <f t="shared" si="153"/>
        <v>4.5</v>
      </c>
      <c r="AW170" s="1133">
        <f>15*(AV170-12)</f>
        <v>-112.5</v>
      </c>
      <c r="AX170" s="186">
        <f t="shared" ref="AX170:AX185" si="201">23.45*SIN(360*(284+AS170)/365/57.3)</f>
        <v>-9.5838777353520346</v>
      </c>
      <c r="AY170" s="40">
        <f t="shared" ref="AY170:AY185" si="202">((SIN(AX170/57.3)*SIN($B$2/57.3)*COS($AS$2/57.3))-SIN(AX170/57.3)*COS($B$2/57.3)*SIN($AS$2/57.3)*COS($AS$3/57.3)+COS(AX170/57.3)*COS($B$2/57.3)*COS($AS$2/57.3)*COS(AW170/57.3)+COS(AX170/57.3)*SIN($B$2/57.3)*SIN($AS$2/57.3)*COS($AS$3/57.3)*COS(AW170/57.3)+COS(AX170/57.3)*SIN($AS$2/57.3)*SIN($AS$3/57.3)*SIN(AW170/57.3))/(COS($B$2/57.3)*COS(AX170/57.3)*COS(AW170/57.3)+SIN($B$2/57.3)*SIN(AX170/57.3))</f>
        <v>2.1848448741364588</v>
      </c>
      <c r="AZ170" s="13">
        <f t="shared" ref="AZ170:AZ185" si="203">57.3*ASIN(SIN($B$2/57.3)*SIN(AX170/57.3)+COS($B$2/57.3)*COS(AW170/57.3)*COS(AX170/57.6))</f>
        <v>-13.047712982884454</v>
      </c>
      <c r="BA170" s="1132">
        <f>IF(AZ170&lt;0,0,1)</f>
        <v>0</v>
      </c>
      <c r="BB170" s="1132">
        <f>IF(AY170&lt;0,0,1)</f>
        <v>1</v>
      </c>
      <c r="BC170" s="187">
        <f>AY170*BB170*BA170</f>
        <v>0</v>
      </c>
      <c r="BD170" s="1136">
        <f t="shared" ref="BD170:BD185" si="204">AT170*BC170+((1+COS($Z$2/57.3))/2)*AU170+((1-COS($Z$2/57.3))/2)*(AT170+AU170)*0.2</f>
        <v>0</v>
      </c>
      <c r="BG170" s="1132"/>
      <c r="BH170" s="1132"/>
      <c r="BI170" s="1132"/>
    </row>
    <row r="171" spans="1:61" x14ac:dyDescent="0.2">
      <c r="A171" s="1135">
        <v>0</v>
      </c>
      <c r="B171" s="1135">
        <v>2.6409696754748735E-4</v>
      </c>
      <c r="C171" s="1135"/>
      <c r="D171" s="1135">
        <v>0</v>
      </c>
      <c r="E171" s="187">
        <v>5.6364895154695184E-4</v>
      </c>
      <c r="F171" s="187"/>
      <c r="G171" s="187">
        <v>0</v>
      </c>
      <c r="H171" s="187">
        <v>5.0241608390578119E-4</v>
      </c>
      <c r="I171" s="187"/>
      <c r="J171" s="187">
        <v>1.7884623383105248E-3</v>
      </c>
      <c r="K171" s="187">
        <v>3.809147499618738E-3</v>
      </c>
      <c r="L171" s="187"/>
      <c r="M171" s="187">
        <v>1.0983943651379525E-4</v>
      </c>
      <c r="N171" s="187">
        <v>1.1924010900821918E-3</v>
      </c>
      <c r="O171" s="187"/>
      <c r="P171" s="187">
        <v>3.4198568515190267E-5</v>
      </c>
      <c r="Q171" s="187">
        <v>1.2975913996620763E-3</v>
      </c>
      <c r="R171" s="187"/>
      <c r="S171" s="187">
        <v>3.2277810355647461E-4</v>
      </c>
      <c r="T171" s="187">
        <v>4.3735790047632287E-3</v>
      </c>
      <c r="U171" s="187"/>
      <c r="V171" s="1138">
        <f t="shared" si="194"/>
        <v>0</v>
      </c>
      <c r="W171" s="1138">
        <f t="shared" si="195"/>
        <v>5.0241608390578119E-4</v>
      </c>
      <c r="Y171" s="1132">
        <v>6</v>
      </c>
      <c r="Z171" s="44">
        <v>288</v>
      </c>
      <c r="AA171" s="1135">
        <f t="shared" ref="AA171:AA185" si="205">V171</f>
        <v>0</v>
      </c>
      <c r="AB171" s="1135">
        <f t="shared" si="196"/>
        <v>5.0241608390578119E-4</v>
      </c>
      <c r="AC171" s="1132">
        <f t="shared" si="151"/>
        <v>5.5</v>
      </c>
      <c r="AD171" s="1133">
        <f t="shared" ref="AD171:AD185" si="206">15*(AC171-12)</f>
        <v>-97.5</v>
      </c>
      <c r="AE171" s="186">
        <f t="shared" si="197"/>
        <v>-9.5838777353520346</v>
      </c>
      <c r="AF171" s="40">
        <f t="shared" si="198"/>
        <v>14.852693458206641</v>
      </c>
      <c r="AG171" s="13">
        <f t="shared" si="199"/>
        <v>-0.98513565334146846</v>
      </c>
      <c r="AH171" s="1132">
        <f t="shared" ref="AH171:AH185" si="207">IF(AG171&lt;0,0,1)</f>
        <v>0</v>
      </c>
      <c r="AI171" s="1132">
        <f t="shared" ref="AI171:AI185" si="208">IF(AF171&lt;0,0,1)</f>
        <v>1</v>
      </c>
      <c r="AJ171" s="187">
        <f t="shared" ref="AJ171:AJ185" si="209">AF171*AI171*AH171</f>
        <v>0</v>
      </c>
      <c r="AK171" s="1136">
        <f t="shared" si="200"/>
        <v>4.5540551239649918E-4</v>
      </c>
      <c r="AR171" s="1132">
        <v>6</v>
      </c>
      <c r="AS171" s="44">
        <v>288</v>
      </c>
      <c r="AT171" s="1135">
        <f t="shared" si="152"/>
        <v>0</v>
      </c>
      <c r="AU171" s="1135">
        <f t="shared" si="150"/>
        <v>5.0241608390578119E-4</v>
      </c>
      <c r="AV171" s="1132">
        <f t="shared" si="153"/>
        <v>5.5</v>
      </c>
      <c r="AW171" s="1133">
        <f t="shared" ref="AW171:AW185" si="210">15*(AV171-12)</f>
        <v>-97.5</v>
      </c>
      <c r="AX171" s="186">
        <f t="shared" si="201"/>
        <v>-9.5838777353520346</v>
      </c>
      <c r="AY171" s="40">
        <f t="shared" si="202"/>
        <v>14.852693458206641</v>
      </c>
      <c r="AZ171" s="13">
        <f t="shared" si="203"/>
        <v>-0.98513565334146846</v>
      </c>
      <c r="BA171" s="1132">
        <f t="shared" ref="BA171:BA185" si="211">IF(AZ171&lt;0,0,1)</f>
        <v>0</v>
      </c>
      <c r="BB171" s="1132">
        <f t="shared" ref="BB171:BB185" si="212">IF(AY171&lt;0,0,1)</f>
        <v>1</v>
      </c>
      <c r="BC171" s="187">
        <f t="shared" ref="BC171:BC185" si="213">AY171*BB171*BA171</f>
        <v>0</v>
      </c>
      <c r="BD171" s="1136">
        <f t="shared" si="204"/>
        <v>4.5540551239649918E-4</v>
      </c>
      <c r="BG171" s="1132"/>
      <c r="BH171" s="1132"/>
      <c r="BI171" s="1132"/>
    </row>
    <row r="172" spans="1:61" x14ac:dyDescent="0.2">
      <c r="A172" s="1135">
        <v>4.5811787320556322E-3</v>
      </c>
      <c r="B172" s="1135">
        <v>1.161810261506754E-2</v>
      </c>
      <c r="C172" s="1135"/>
      <c r="D172" s="1135">
        <v>4.7485077917424103E-3</v>
      </c>
      <c r="E172" s="187">
        <v>1.4496111246742048E-2</v>
      </c>
      <c r="F172" s="187"/>
      <c r="G172" s="187">
        <v>5.9914849882598178E-3</v>
      </c>
      <c r="H172" s="187">
        <v>1.4346172559569156E-2</v>
      </c>
      <c r="I172" s="187"/>
      <c r="J172" s="187">
        <v>8.5159921806763003E-3</v>
      </c>
      <c r="K172" s="187">
        <v>1.2505372319039504E-2</v>
      </c>
      <c r="L172" s="187"/>
      <c r="M172" s="187">
        <v>6.2559001589208426E-3</v>
      </c>
      <c r="N172" s="187">
        <v>1.597421642920898E-2</v>
      </c>
      <c r="O172" s="187"/>
      <c r="P172" s="187">
        <v>8.0440141922442938E-3</v>
      </c>
      <c r="Q172" s="187">
        <v>1.485648893685567E-2</v>
      </c>
      <c r="R172" s="187"/>
      <c r="S172" s="187">
        <v>7.350596175015176E-3</v>
      </c>
      <c r="T172" s="187">
        <v>1.906062570085286E-2</v>
      </c>
      <c r="U172" s="187"/>
      <c r="V172" s="1138">
        <f t="shared" si="194"/>
        <v>5.9914849882598178E-3</v>
      </c>
      <c r="W172" s="1138">
        <f t="shared" si="195"/>
        <v>1.4346172559569156E-2</v>
      </c>
      <c r="Y172" s="1132">
        <v>7</v>
      </c>
      <c r="Z172" s="44">
        <v>288</v>
      </c>
      <c r="AA172" s="1135">
        <f t="shared" si="205"/>
        <v>5.9914849882598178E-3</v>
      </c>
      <c r="AB172" s="1135">
        <f t="shared" si="196"/>
        <v>1.4346172559569156E-2</v>
      </c>
      <c r="AC172" s="1132">
        <f t="shared" si="151"/>
        <v>6.5</v>
      </c>
      <c r="AD172" s="1133">
        <f t="shared" si="206"/>
        <v>-82.5</v>
      </c>
      <c r="AE172" s="186">
        <f t="shared" si="197"/>
        <v>-9.5838777353520346</v>
      </c>
      <c r="AF172" s="40">
        <f t="shared" si="198"/>
        <v>-5.059945465726334E-3</v>
      </c>
      <c r="AG172" s="13">
        <f t="shared" si="199"/>
        <v>11.462479318275141</v>
      </c>
      <c r="AH172" s="1132">
        <f t="shared" si="207"/>
        <v>1</v>
      </c>
      <c r="AI172" s="1132">
        <f t="shared" si="208"/>
        <v>0</v>
      </c>
      <c r="AJ172" s="187">
        <f t="shared" si="209"/>
        <v>0</v>
      </c>
      <c r="AK172" s="1136">
        <f t="shared" si="200"/>
        <v>1.3143969829655057E-2</v>
      </c>
      <c r="AR172" s="1132">
        <v>7</v>
      </c>
      <c r="AS172" s="44">
        <v>288</v>
      </c>
      <c r="AT172" s="1135">
        <f t="shared" si="152"/>
        <v>5.9914849882598178E-3</v>
      </c>
      <c r="AU172" s="1135">
        <f t="shared" si="150"/>
        <v>1.4346172559569156E-2</v>
      </c>
      <c r="AV172" s="1132">
        <f t="shared" si="153"/>
        <v>6.5</v>
      </c>
      <c r="AW172" s="1133">
        <f t="shared" si="210"/>
        <v>-82.5</v>
      </c>
      <c r="AX172" s="186">
        <f t="shared" si="201"/>
        <v>-9.5838777353520346</v>
      </c>
      <c r="AY172" s="40">
        <f t="shared" si="202"/>
        <v>-5.059945465726334E-3</v>
      </c>
      <c r="AZ172" s="13">
        <f t="shared" si="203"/>
        <v>11.462479318275141</v>
      </c>
      <c r="BA172" s="1132">
        <f t="shared" si="211"/>
        <v>1</v>
      </c>
      <c r="BB172" s="1132">
        <f t="shared" si="212"/>
        <v>0</v>
      </c>
      <c r="BC172" s="187">
        <f t="shared" si="213"/>
        <v>0</v>
      </c>
      <c r="BD172" s="1136">
        <f t="shared" si="204"/>
        <v>1.3143969829655057E-2</v>
      </c>
      <c r="BG172" s="1132"/>
      <c r="BH172" s="1132"/>
      <c r="BI172" s="1132"/>
    </row>
    <row r="173" spans="1:61" x14ac:dyDescent="0.2">
      <c r="A173" s="1135">
        <v>2.6299976265770984E-2</v>
      </c>
      <c r="B173" s="1135">
        <v>2.2225193745387943E-2</v>
      </c>
      <c r="C173" s="1135"/>
      <c r="D173" s="1135">
        <v>2.1358376848458295E-2</v>
      </c>
      <c r="E173" s="187">
        <v>2.7929257673978906E-2</v>
      </c>
      <c r="F173" s="187"/>
      <c r="G173" s="187">
        <v>2.5352832479848895E-2</v>
      </c>
      <c r="H173" s="187">
        <v>2.4097260069045251E-2</v>
      </c>
      <c r="I173" s="187"/>
      <c r="J173" s="187">
        <v>2.3489165245601632E-2</v>
      </c>
      <c r="K173" s="187">
        <v>2.3918950768761542E-2</v>
      </c>
      <c r="L173" s="187"/>
      <c r="M173" s="187">
        <v>2.5943876995663816E-2</v>
      </c>
      <c r="N173" s="187">
        <v>2.7147163074950086E-2</v>
      </c>
      <c r="O173" s="187"/>
      <c r="P173" s="187">
        <v>2.640883177382369E-2</v>
      </c>
      <c r="Q173" s="187">
        <v>2.50298767061213E-2</v>
      </c>
      <c r="R173" s="187"/>
      <c r="S173" s="187">
        <v>2.1357365513410081E-2</v>
      </c>
      <c r="T173" s="187">
        <v>3.1823863461004284E-2</v>
      </c>
      <c r="U173" s="187"/>
      <c r="V173" s="1138">
        <f t="shared" si="194"/>
        <v>2.5352832479848895E-2</v>
      </c>
      <c r="W173" s="1138">
        <f t="shared" si="195"/>
        <v>2.4097260069045251E-2</v>
      </c>
      <c r="Y173" s="1132">
        <v>8</v>
      </c>
      <c r="Z173" s="44">
        <v>288</v>
      </c>
      <c r="AA173" s="1135">
        <f t="shared" si="205"/>
        <v>2.5352832479848895E-2</v>
      </c>
      <c r="AB173" s="1135">
        <f t="shared" si="196"/>
        <v>2.4097260069045251E-2</v>
      </c>
      <c r="AC173" s="1132">
        <f t="shared" si="151"/>
        <v>7.5</v>
      </c>
      <c r="AD173" s="1133">
        <f t="shared" si="206"/>
        <v>-67.5</v>
      </c>
      <c r="AE173" s="186">
        <f t="shared" si="197"/>
        <v>-9.5838777353520346</v>
      </c>
      <c r="AF173" s="40">
        <f t="shared" si="198"/>
        <v>0.61854906224312833</v>
      </c>
      <c r="AG173" s="13">
        <f t="shared" si="199"/>
        <v>24.03416560538162</v>
      </c>
      <c r="AH173" s="1132">
        <f t="shared" si="207"/>
        <v>1</v>
      </c>
      <c r="AI173" s="1132">
        <f t="shared" si="208"/>
        <v>1</v>
      </c>
      <c r="AJ173" s="187">
        <f t="shared" si="209"/>
        <v>0.61854906224312833</v>
      </c>
      <c r="AK173" s="1136">
        <f t="shared" si="200"/>
        <v>3.8117534059107158E-2</v>
      </c>
      <c r="AR173" s="1132">
        <v>8</v>
      </c>
      <c r="AS173" s="44">
        <v>288</v>
      </c>
      <c r="AT173" s="1135">
        <f t="shared" si="152"/>
        <v>2.5352832479848895E-2</v>
      </c>
      <c r="AU173" s="1135">
        <f t="shared" si="150"/>
        <v>2.4097260069045251E-2</v>
      </c>
      <c r="AV173" s="1132">
        <f t="shared" si="153"/>
        <v>7.5</v>
      </c>
      <c r="AW173" s="1133">
        <f t="shared" si="210"/>
        <v>-67.5</v>
      </c>
      <c r="AX173" s="186">
        <f t="shared" si="201"/>
        <v>-9.5838777353520346</v>
      </c>
      <c r="AY173" s="40">
        <f t="shared" si="202"/>
        <v>0.61854906224312833</v>
      </c>
      <c r="AZ173" s="13">
        <f t="shared" si="203"/>
        <v>24.03416560538162</v>
      </c>
      <c r="BA173" s="1132">
        <f t="shared" si="211"/>
        <v>1</v>
      </c>
      <c r="BB173" s="1132">
        <f t="shared" si="212"/>
        <v>1</v>
      </c>
      <c r="BC173" s="187">
        <f t="shared" si="213"/>
        <v>0.61854906224312833</v>
      </c>
      <c r="BD173" s="1136">
        <f t="shared" si="204"/>
        <v>3.8117534059107158E-2</v>
      </c>
      <c r="BG173" s="1132"/>
      <c r="BH173" s="1132"/>
      <c r="BI173" s="1132"/>
    </row>
    <row r="174" spans="1:61" x14ac:dyDescent="0.2">
      <c r="A174" s="1135">
        <v>4.9229781045684859E-2</v>
      </c>
      <c r="B174" s="1135">
        <v>2.7335656367959718E-2</v>
      </c>
      <c r="C174" s="1135"/>
      <c r="D174" s="1135">
        <v>4.0962509366433558E-2</v>
      </c>
      <c r="E174" s="187">
        <v>3.8867664332609325E-2</v>
      </c>
      <c r="F174" s="187"/>
      <c r="G174" s="187">
        <v>4.0713479156878896E-2</v>
      </c>
      <c r="H174" s="187">
        <v>3.5436706878985785E-2</v>
      </c>
      <c r="I174" s="187"/>
      <c r="J174" s="187">
        <v>3.9100084570699724E-2</v>
      </c>
      <c r="K174" s="187">
        <v>3.6355002842130113E-2</v>
      </c>
      <c r="L174" s="187"/>
      <c r="M174" s="187">
        <v>4.1512380190902934E-2</v>
      </c>
      <c r="N174" s="187">
        <v>3.5427671225827906E-2</v>
      </c>
      <c r="O174" s="187"/>
      <c r="P174" s="187">
        <v>4.5203667863378497E-2</v>
      </c>
      <c r="Q174" s="187">
        <v>3.3832155281098938E-2</v>
      </c>
      <c r="R174" s="187"/>
      <c r="S174" s="187">
        <v>3.7444831949631191E-2</v>
      </c>
      <c r="T174" s="187">
        <v>4.1631945516084901E-2</v>
      </c>
      <c r="U174" s="187"/>
      <c r="V174" s="1138">
        <f t="shared" si="194"/>
        <v>4.0713479156878896E-2</v>
      </c>
      <c r="W174" s="1138">
        <f t="shared" si="195"/>
        <v>3.5436706878985785E-2</v>
      </c>
      <c r="Y174" s="1132">
        <v>9</v>
      </c>
      <c r="Z174" s="44">
        <v>288</v>
      </c>
      <c r="AA174" s="1135">
        <f t="shared" si="205"/>
        <v>4.0713479156878896E-2</v>
      </c>
      <c r="AB174" s="1135">
        <f t="shared" si="196"/>
        <v>3.5436706878985785E-2</v>
      </c>
      <c r="AC174" s="1132">
        <f t="shared" si="151"/>
        <v>8.5</v>
      </c>
      <c r="AD174" s="1133">
        <f t="shared" si="206"/>
        <v>-52.5</v>
      </c>
      <c r="AE174" s="186">
        <f t="shared" si="197"/>
        <v>-9.5838777353520346</v>
      </c>
      <c r="AF174" s="40">
        <f t="shared" si="198"/>
        <v>0.81849574545902715</v>
      </c>
      <c r="AG174" s="13">
        <f t="shared" si="199"/>
        <v>36.459923891819841</v>
      </c>
      <c r="AH174" s="1132">
        <f t="shared" si="207"/>
        <v>1</v>
      </c>
      <c r="AI174" s="1132">
        <f t="shared" si="208"/>
        <v>1</v>
      </c>
      <c r="AJ174" s="187">
        <f t="shared" si="209"/>
        <v>0.81849574545902715</v>
      </c>
      <c r="AK174" s="1136">
        <f t="shared" si="200"/>
        <v>6.6397118960597287E-2</v>
      </c>
      <c r="AR174" s="1132">
        <v>9</v>
      </c>
      <c r="AS174" s="44">
        <v>288</v>
      </c>
      <c r="AT174" s="1135">
        <f t="shared" si="152"/>
        <v>4.0713479156878896E-2</v>
      </c>
      <c r="AU174" s="1135">
        <f t="shared" si="150"/>
        <v>3.5436706878985785E-2</v>
      </c>
      <c r="AV174" s="1132">
        <f t="shared" si="153"/>
        <v>8.5</v>
      </c>
      <c r="AW174" s="1133">
        <f t="shared" si="210"/>
        <v>-52.5</v>
      </c>
      <c r="AX174" s="186">
        <f t="shared" si="201"/>
        <v>-9.5838777353520346</v>
      </c>
      <c r="AY174" s="40">
        <f t="shared" si="202"/>
        <v>0.81849574545902715</v>
      </c>
      <c r="AZ174" s="13">
        <f t="shared" si="203"/>
        <v>36.459923891819841</v>
      </c>
      <c r="BA174" s="1132">
        <f t="shared" si="211"/>
        <v>1</v>
      </c>
      <c r="BB174" s="1132">
        <f t="shared" si="212"/>
        <v>1</v>
      </c>
      <c r="BC174" s="187">
        <f t="shared" si="213"/>
        <v>0.81849574545902715</v>
      </c>
      <c r="BD174" s="1136">
        <f t="shared" si="204"/>
        <v>6.6397118960597287E-2</v>
      </c>
      <c r="BG174" s="1132"/>
      <c r="BH174" s="1132"/>
      <c r="BI174" s="1132"/>
    </row>
    <row r="175" spans="1:61" x14ac:dyDescent="0.2">
      <c r="A175" s="1135">
        <v>7.1355598155062067E-2</v>
      </c>
      <c r="B175" s="1135">
        <v>3.5121656230226284E-2</v>
      </c>
      <c r="C175" s="1135"/>
      <c r="D175" s="1135">
        <v>5.2681584893784085E-2</v>
      </c>
      <c r="E175" s="187">
        <v>4.8333148775610797E-2</v>
      </c>
      <c r="F175" s="187"/>
      <c r="G175" s="187">
        <v>6.2861888755205819E-2</v>
      </c>
      <c r="H175" s="187">
        <v>4.2704431534069782E-2</v>
      </c>
      <c r="I175" s="187"/>
      <c r="J175" s="187">
        <v>5.4128713832161737E-2</v>
      </c>
      <c r="K175" s="187">
        <v>4.7553688530272177E-2</v>
      </c>
      <c r="L175" s="187"/>
      <c r="M175" s="187">
        <v>6.4076962810939622E-2</v>
      </c>
      <c r="N175" s="187">
        <v>4.1616282360578148E-2</v>
      </c>
      <c r="O175" s="187"/>
      <c r="P175" s="187">
        <v>5.9939342485595182E-2</v>
      </c>
      <c r="Q175" s="187">
        <v>4.2164880775314439E-2</v>
      </c>
      <c r="R175" s="187"/>
      <c r="S175" s="187">
        <v>5.3449996399288088E-2</v>
      </c>
      <c r="T175" s="187">
        <v>4.9463493925084631E-2</v>
      </c>
      <c r="U175" s="187"/>
      <c r="V175" s="1138">
        <f t="shared" si="194"/>
        <v>6.2861888755205819E-2</v>
      </c>
      <c r="W175" s="1138">
        <f t="shared" si="195"/>
        <v>4.2704431534069782E-2</v>
      </c>
      <c r="Y175" s="1132">
        <v>10</v>
      </c>
      <c r="Z175" s="44">
        <v>288</v>
      </c>
      <c r="AA175" s="1135">
        <f t="shared" si="205"/>
        <v>6.2861888755205819E-2</v>
      </c>
      <c r="AB175" s="1135">
        <f t="shared" si="196"/>
        <v>4.2704431534069782E-2</v>
      </c>
      <c r="AC175" s="1132">
        <f t="shared" si="151"/>
        <v>9.5</v>
      </c>
      <c r="AD175" s="1133">
        <f t="shared" si="206"/>
        <v>-37.5</v>
      </c>
      <c r="AE175" s="186">
        <f t="shared" si="197"/>
        <v>-9.5838777353520346</v>
      </c>
      <c r="AF175" s="40">
        <f t="shared" si="198"/>
        <v>0.91902534233394584</v>
      </c>
      <c r="AG175" s="13">
        <f t="shared" si="199"/>
        <v>48.324448524152906</v>
      </c>
      <c r="AH175" s="1132">
        <f t="shared" si="207"/>
        <v>1</v>
      </c>
      <c r="AI175" s="1132">
        <f t="shared" si="208"/>
        <v>1</v>
      </c>
      <c r="AJ175" s="187">
        <f t="shared" si="209"/>
        <v>0.91902534233394584</v>
      </c>
      <c r="AK175" s="1136">
        <f t="shared" si="200"/>
        <v>9.7950770378840299E-2</v>
      </c>
      <c r="AR175" s="1132">
        <v>10</v>
      </c>
      <c r="AS175" s="44">
        <v>288</v>
      </c>
      <c r="AT175" s="1135">
        <f t="shared" si="152"/>
        <v>6.2861888755205819E-2</v>
      </c>
      <c r="AU175" s="1135">
        <f t="shared" si="150"/>
        <v>4.2704431534069782E-2</v>
      </c>
      <c r="AV175" s="1132">
        <f t="shared" si="153"/>
        <v>9.5</v>
      </c>
      <c r="AW175" s="1133">
        <f t="shared" si="210"/>
        <v>-37.5</v>
      </c>
      <c r="AX175" s="186">
        <f t="shared" si="201"/>
        <v>-9.5838777353520346</v>
      </c>
      <c r="AY175" s="40">
        <f t="shared" si="202"/>
        <v>0.91902534233394584</v>
      </c>
      <c r="AZ175" s="13">
        <f t="shared" si="203"/>
        <v>48.324448524152906</v>
      </c>
      <c r="BA175" s="1132">
        <f t="shared" si="211"/>
        <v>1</v>
      </c>
      <c r="BB175" s="1132">
        <f t="shared" si="212"/>
        <v>1</v>
      </c>
      <c r="BC175" s="187">
        <f t="shared" si="213"/>
        <v>0.91902534233394584</v>
      </c>
      <c r="BD175" s="1136">
        <f t="shared" si="204"/>
        <v>9.7950770378840299E-2</v>
      </c>
      <c r="BG175" s="1132"/>
      <c r="BH175" s="1132"/>
      <c r="BI175" s="1132"/>
    </row>
    <row r="176" spans="1:61" x14ac:dyDescent="0.2">
      <c r="A176" s="1135">
        <v>8.1438269498914917E-2</v>
      </c>
      <c r="B176" s="1135">
        <v>4.020997847920102E-2</v>
      </c>
      <c r="C176" s="1135"/>
      <c r="D176" s="1135">
        <v>7.1057947324788984E-2</v>
      </c>
      <c r="E176" s="187">
        <v>5.1700976379149818E-2</v>
      </c>
      <c r="F176" s="187"/>
      <c r="G176" s="187">
        <v>7.3298483570790524E-2</v>
      </c>
      <c r="H176" s="187">
        <v>4.7186881176514109E-2</v>
      </c>
      <c r="I176" s="187"/>
      <c r="J176" s="187">
        <v>6.4471294486267705E-2</v>
      </c>
      <c r="K176" s="187">
        <v>5.4724867944932046E-2</v>
      </c>
      <c r="L176" s="187"/>
      <c r="M176" s="187">
        <v>6.4984375092769803E-2</v>
      </c>
      <c r="N176" s="187">
        <v>5.0348022791188302E-2</v>
      </c>
      <c r="O176" s="187"/>
      <c r="P176" s="187">
        <v>7.116233557032306E-2</v>
      </c>
      <c r="Q176" s="187">
        <v>4.6309747279355509E-2</v>
      </c>
      <c r="R176" s="187"/>
      <c r="S176" s="187">
        <v>5.7113720769935095E-2</v>
      </c>
      <c r="T176" s="187">
        <v>5.4237009145808264E-2</v>
      </c>
      <c r="U176" s="187"/>
      <c r="V176" s="1138">
        <f t="shared" si="194"/>
        <v>7.3298483570790524E-2</v>
      </c>
      <c r="W176" s="1138">
        <f t="shared" si="195"/>
        <v>4.7186881176514109E-2</v>
      </c>
      <c r="Y176" s="1132">
        <v>11</v>
      </c>
      <c r="Z176" s="44">
        <v>288</v>
      </c>
      <c r="AA176" s="1135">
        <f t="shared" si="205"/>
        <v>7.3298483570790524E-2</v>
      </c>
      <c r="AB176" s="1135">
        <f t="shared" si="196"/>
        <v>4.7186881176514109E-2</v>
      </c>
      <c r="AC176" s="1132">
        <f t="shared" si="151"/>
        <v>10.5</v>
      </c>
      <c r="AD176" s="1133">
        <f t="shared" si="206"/>
        <v>-22.5</v>
      </c>
      <c r="AE176" s="186">
        <f t="shared" si="197"/>
        <v>-9.5838777353520346</v>
      </c>
      <c r="AF176" s="40">
        <f t="shared" si="198"/>
        <v>0.98075694003767333</v>
      </c>
      <c r="AG176" s="13">
        <f t="shared" si="199"/>
        <v>58.744755574606721</v>
      </c>
      <c r="AH176" s="1132">
        <f t="shared" si="207"/>
        <v>1</v>
      </c>
      <c r="AI176" s="1132">
        <f t="shared" si="208"/>
        <v>1</v>
      </c>
      <c r="AJ176" s="187">
        <f t="shared" si="209"/>
        <v>0.98075694003767333</v>
      </c>
      <c r="AK176" s="1136">
        <f t="shared" si="200"/>
        <v>0.11637426474548614</v>
      </c>
      <c r="AR176" s="1132">
        <v>11</v>
      </c>
      <c r="AS176" s="44">
        <v>288</v>
      </c>
      <c r="AT176" s="1135">
        <f t="shared" si="152"/>
        <v>7.3298483570790524E-2</v>
      </c>
      <c r="AU176" s="1135">
        <f t="shared" si="150"/>
        <v>4.7186881176514109E-2</v>
      </c>
      <c r="AV176" s="1132">
        <f t="shared" si="153"/>
        <v>10.5</v>
      </c>
      <c r="AW176" s="1133">
        <f t="shared" si="210"/>
        <v>-22.5</v>
      </c>
      <c r="AX176" s="186">
        <f t="shared" si="201"/>
        <v>-9.5838777353520346</v>
      </c>
      <c r="AY176" s="40">
        <f t="shared" si="202"/>
        <v>0.98075694003767333</v>
      </c>
      <c r="AZ176" s="13">
        <f t="shared" si="203"/>
        <v>58.744755574606721</v>
      </c>
      <c r="BA176" s="1132">
        <f t="shared" si="211"/>
        <v>1</v>
      </c>
      <c r="BB176" s="1132">
        <f t="shared" si="212"/>
        <v>1</v>
      </c>
      <c r="BC176" s="187">
        <f t="shared" si="213"/>
        <v>0.98075694003767333</v>
      </c>
      <c r="BD176" s="1136">
        <f t="shared" si="204"/>
        <v>0.11637426474548614</v>
      </c>
      <c r="BG176" s="1132"/>
      <c r="BH176" s="1132"/>
      <c r="BI176" s="1132"/>
    </row>
    <row r="177" spans="1:61" x14ac:dyDescent="0.2">
      <c r="A177" s="1135">
        <v>8.6354847707644039E-2</v>
      </c>
      <c r="B177" s="1135">
        <v>4.3949461921529862E-2</v>
      </c>
      <c r="C177" s="1135"/>
      <c r="D177" s="1135">
        <v>7.2667511710489893E-2</v>
      </c>
      <c r="E177" s="187">
        <v>5.4581513890887987E-2</v>
      </c>
      <c r="F177" s="187"/>
      <c r="G177" s="187">
        <v>7.710730270967403E-2</v>
      </c>
      <c r="H177" s="187">
        <v>5.0379141285055121E-2</v>
      </c>
      <c r="I177" s="187"/>
      <c r="J177" s="187">
        <v>6.5781447129448639E-2</v>
      </c>
      <c r="K177" s="187">
        <v>6.3857810312079696E-2</v>
      </c>
      <c r="L177" s="187"/>
      <c r="M177" s="187">
        <v>7.1821137857398742E-2</v>
      </c>
      <c r="N177" s="187">
        <v>5.3589770485054922E-2</v>
      </c>
      <c r="O177" s="187"/>
      <c r="P177" s="187">
        <v>7.5046315851691081E-2</v>
      </c>
      <c r="Q177" s="187">
        <v>5.0670553316021036E-2</v>
      </c>
      <c r="R177" s="187"/>
      <c r="S177" s="187">
        <v>6.9529747024268784E-2</v>
      </c>
      <c r="T177" s="187">
        <v>5.2794152443854603E-2</v>
      </c>
      <c r="U177" s="187"/>
      <c r="V177" s="1138">
        <f t="shared" si="194"/>
        <v>7.710730270967403E-2</v>
      </c>
      <c r="W177" s="1138">
        <f t="shared" si="195"/>
        <v>5.0379141285055121E-2</v>
      </c>
      <c r="Y177" s="1132">
        <v>12</v>
      </c>
      <c r="Z177" s="44">
        <v>288</v>
      </c>
      <c r="AA177" s="1135">
        <f t="shared" si="205"/>
        <v>7.710730270967403E-2</v>
      </c>
      <c r="AB177" s="1135">
        <f t="shared" si="196"/>
        <v>5.0379141285055121E-2</v>
      </c>
      <c r="AC177" s="1132">
        <f t="shared" si="151"/>
        <v>11.5</v>
      </c>
      <c r="AD177" s="1133">
        <f t="shared" si="206"/>
        <v>-7.5</v>
      </c>
      <c r="AE177" s="186">
        <f t="shared" si="197"/>
        <v>-9.5838777353520346</v>
      </c>
      <c r="AF177" s="40">
        <f t="shared" si="198"/>
        <v>1.0233144975955633</v>
      </c>
      <c r="AG177" s="13">
        <f t="shared" si="199"/>
        <v>65.607252563603083</v>
      </c>
      <c r="AH177" s="1132">
        <f t="shared" si="207"/>
        <v>1</v>
      </c>
      <c r="AI177" s="1132">
        <f t="shared" si="208"/>
        <v>1</v>
      </c>
      <c r="AJ177" s="187">
        <f t="shared" si="209"/>
        <v>1.0233144975955633</v>
      </c>
      <c r="AK177" s="1136">
        <f t="shared" si="200"/>
        <v>0.12637394939018673</v>
      </c>
      <c r="AR177" s="1132">
        <v>12</v>
      </c>
      <c r="AS177" s="44">
        <v>288</v>
      </c>
      <c r="AT177" s="1135">
        <f t="shared" si="152"/>
        <v>7.710730270967403E-2</v>
      </c>
      <c r="AU177" s="1135">
        <f t="shared" si="150"/>
        <v>5.0379141285055121E-2</v>
      </c>
      <c r="AV177" s="1132">
        <f t="shared" si="153"/>
        <v>11.5</v>
      </c>
      <c r="AW177" s="1133">
        <f t="shared" si="210"/>
        <v>-7.5</v>
      </c>
      <c r="AX177" s="186">
        <f t="shared" si="201"/>
        <v>-9.5838777353520346</v>
      </c>
      <c r="AY177" s="40">
        <f t="shared" si="202"/>
        <v>1.0233144975955633</v>
      </c>
      <c r="AZ177" s="13">
        <f t="shared" si="203"/>
        <v>65.607252563603083</v>
      </c>
      <c r="BA177" s="1132">
        <f t="shared" si="211"/>
        <v>1</v>
      </c>
      <c r="BB177" s="1132">
        <f t="shared" si="212"/>
        <v>1</v>
      </c>
      <c r="BC177" s="187">
        <f t="shared" si="213"/>
        <v>1.0233144975955633</v>
      </c>
      <c r="BD177" s="1136">
        <f t="shared" si="204"/>
        <v>0.12637394939018673</v>
      </c>
      <c r="BG177" s="1132"/>
      <c r="BH177" s="1132"/>
      <c r="BI177" s="1132"/>
    </row>
    <row r="178" spans="1:61" x14ac:dyDescent="0.2">
      <c r="A178" s="1135">
        <v>8.6354847707644039E-2</v>
      </c>
      <c r="B178" s="1135">
        <v>4.3949461921529862E-2</v>
      </c>
      <c r="C178" s="1135"/>
      <c r="D178" s="1135">
        <v>7.2667511710489893E-2</v>
      </c>
      <c r="E178" s="187">
        <v>5.4581513890887987E-2</v>
      </c>
      <c r="F178" s="187"/>
      <c r="G178" s="187">
        <v>7.710730270967403E-2</v>
      </c>
      <c r="H178" s="187">
        <v>5.0379141285055121E-2</v>
      </c>
      <c r="I178" s="187"/>
      <c r="J178" s="187">
        <v>6.5781447129448639E-2</v>
      </c>
      <c r="K178" s="187">
        <v>6.3857810312079696E-2</v>
      </c>
      <c r="L178" s="187"/>
      <c r="M178" s="187">
        <v>7.1821137857398742E-2</v>
      </c>
      <c r="N178" s="187">
        <v>5.3589770485054922E-2</v>
      </c>
      <c r="O178" s="187"/>
      <c r="P178" s="187">
        <v>7.5046315851691081E-2</v>
      </c>
      <c r="Q178" s="187">
        <v>5.0670553316021036E-2</v>
      </c>
      <c r="R178" s="187"/>
      <c r="S178" s="187">
        <v>6.9529747024268784E-2</v>
      </c>
      <c r="T178" s="187">
        <v>5.2794152443854603E-2</v>
      </c>
      <c r="U178" s="187"/>
      <c r="V178" s="1138">
        <f t="shared" si="194"/>
        <v>7.710730270967403E-2</v>
      </c>
      <c r="W178" s="1138">
        <f t="shared" si="195"/>
        <v>5.0379141285055121E-2</v>
      </c>
      <c r="Y178" s="1132">
        <v>13</v>
      </c>
      <c r="Z178" s="44">
        <v>288</v>
      </c>
      <c r="AA178" s="1135">
        <f t="shared" si="205"/>
        <v>7.710730270967403E-2</v>
      </c>
      <c r="AB178" s="1135">
        <f t="shared" si="196"/>
        <v>5.0379141285055121E-2</v>
      </c>
      <c r="AC178" s="1132">
        <f t="shared" si="151"/>
        <v>12.5</v>
      </c>
      <c r="AD178" s="1133">
        <f t="shared" si="206"/>
        <v>7.5</v>
      </c>
      <c r="AE178" s="186">
        <f t="shared" si="197"/>
        <v>-9.5838777353520346</v>
      </c>
      <c r="AF178" s="40">
        <f t="shared" si="198"/>
        <v>1.0549025693949401</v>
      </c>
      <c r="AG178" s="13">
        <f t="shared" si="199"/>
        <v>65.607252563603083</v>
      </c>
      <c r="AH178" s="1132">
        <f t="shared" si="207"/>
        <v>1</v>
      </c>
      <c r="AI178" s="1132">
        <f t="shared" si="208"/>
        <v>1</v>
      </c>
      <c r="AJ178" s="187">
        <f t="shared" si="209"/>
        <v>1.0549025693949401</v>
      </c>
      <c r="AK178" s="1136">
        <f t="shared" si="200"/>
        <v>0.12880962040443619</v>
      </c>
      <c r="AR178" s="1132">
        <v>13</v>
      </c>
      <c r="AS178" s="44">
        <v>288</v>
      </c>
      <c r="AT178" s="1135">
        <f t="shared" si="152"/>
        <v>7.710730270967403E-2</v>
      </c>
      <c r="AU178" s="1135">
        <f t="shared" si="150"/>
        <v>5.0379141285055121E-2</v>
      </c>
      <c r="AV178" s="1132">
        <f t="shared" si="153"/>
        <v>12.5</v>
      </c>
      <c r="AW178" s="1133">
        <f t="shared" si="210"/>
        <v>7.5</v>
      </c>
      <c r="AX178" s="186">
        <f t="shared" si="201"/>
        <v>-9.5838777353520346</v>
      </c>
      <c r="AY178" s="40">
        <f t="shared" si="202"/>
        <v>1.0549025693949401</v>
      </c>
      <c r="AZ178" s="13">
        <f t="shared" si="203"/>
        <v>65.607252563603083</v>
      </c>
      <c r="BA178" s="1132">
        <f t="shared" si="211"/>
        <v>1</v>
      </c>
      <c r="BB178" s="1132">
        <f t="shared" si="212"/>
        <v>1</v>
      </c>
      <c r="BC178" s="187">
        <f t="shared" si="213"/>
        <v>1.0549025693949401</v>
      </c>
      <c r="BD178" s="1136">
        <f t="shared" si="204"/>
        <v>0.12880962040443619</v>
      </c>
      <c r="BG178" s="1132"/>
      <c r="BH178" s="1132"/>
      <c r="BI178" s="1132"/>
    </row>
    <row r="179" spans="1:61" x14ac:dyDescent="0.2">
      <c r="A179" s="1135">
        <v>8.1438269498914917E-2</v>
      </c>
      <c r="B179" s="1135">
        <v>4.020997847920102E-2</v>
      </c>
      <c r="C179" s="1135"/>
      <c r="D179" s="1135">
        <v>7.1057947324788984E-2</v>
      </c>
      <c r="E179" s="187">
        <v>5.1700976379149818E-2</v>
      </c>
      <c r="F179" s="187"/>
      <c r="G179" s="187">
        <v>7.3298483570790524E-2</v>
      </c>
      <c r="H179" s="187">
        <v>4.7186881176514109E-2</v>
      </c>
      <c r="I179" s="187"/>
      <c r="J179" s="187">
        <v>6.4471294486267705E-2</v>
      </c>
      <c r="K179" s="187">
        <v>5.4724867944932046E-2</v>
      </c>
      <c r="L179" s="187"/>
      <c r="M179" s="187">
        <v>6.4984375092769803E-2</v>
      </c>
      <c r="N179" s="187">
        <v>5.0348022791188302E-2</v>
      </c>
      <c r="O179" s="187"/>
      <c r="P179" s="187">
        <v>7.116233557032306E-2</v>
      </c>
      <c r="Q179" s="187">
        <v>4.6309747279355509E-2</v>
      </c>
      <c r="R179" s="187"/>
      <c r="S179" s="187">
        <v>5.7113720769935095E-2</v>
      </c>
      <c r="T179" s="187">
        <v>5.4237009145808264E-2</v>
      </c>
      <c r="U179" s="187"/>
      <c r="V179" s="1138">
        <f t="shared" si="194"/>
        <v>7.3298483570790524E-2</v>
      </c>
      <c r="W179" s="1138">
        <f t="shared" si="195"/>
        <v>4.7186881176514109E-2</v>
      </c>
      <c r="Y179" s="1132">
        <v>14</v>
      </c>
      <c r="Z179" s="44">
        <v>288</v>
      </c>
      <c r="AA179" s="1135">
        <f t="shared" si="205"/>
        <v>7.3298483570790524E-2</v>
      </c>
      <c r="AB179" s="1135">
        <f t="shared" si="196"/>
        <v>4.7186881176514109E-2</v>
      </c>
      <c r="AC179" s="1132">
        <f t="shared" si="151"/>
        <v>13.5</v>
      </c>
      <c r="AD179" s="1133">
        <f t="shared" si="206"/>
        <v>22.5</v>
      </c>
      <c r="AE179" s="186">
        <f t="shared" si="197"/>
        <v>-9.5838777353520346</v>
      </c>
      <c r="AF179" s="40">
        <f t="shared" si="198"/>
        <v>1.0794223041621327</v>
      </c>
      <c r="AG179" s="13">
        <f t="shared" si="199"/>
        <v>58.744755574606721</v>
      </c>
      <c r="AH179" s="1132">
        <f t="shared" si="207"/>
        <v>1</v>
      </c>
      <c r="AI179" s="1132">
        <f t="shared" si="208"/>
        <v>1</v>
      </c>
      <c r="AJ179" s="187">
        <f t="shared" si="209"/>
        <v>1.0794223041621327</v>
      </c>
      <c r="AK179" s="1136">
        <f t="shared" si="200"/>
        <v>0.12360628631676888</v>
      </c>
      <c r="AR179" s="1132">
        <v>14</v>
      </c>
      <c r="AS179" s="44">
        <v>288</v>
      </c>
      <c r="AT179" s="1135">
        <f t="shared" si="152"/>
        <v>7.3298483570790524E-2</v>
      </c>
      <c r="AU179" s="1135">
        <f t="shared" si="150"/>
        <v>4.7186881176514109E-2</v>
      </c>
      <c r="AV179" s="1132">
        <f t="shared" si="153"/>
        <v>13.5</v>
      </c>
      <c r="AW179" s="1133">
        <f t="shared" si="210"/>
        <v>22.5</v>
      </c>
      <c r="AX179" s="186">
        <f t="shared" si="201"/>
        <v>-9.5838777353520346</v>
      </c>
      <c r="AY179" s="40">
        <f t="shared" si="202"/>
        <v>1.0794223041621327</v>
      </c>
      <c r="AZ179" s="13">
        <f t="shared" si="203"/>
        <v>58.744755574606721</v>
      </c>
      <c r="BA179" s="1132">
        <f t="shared" si="211"/>
        <v>1</v>
      </c>
      <c r="BB179" s="1132">
        <f t="shared" si="212"/>
        <v>1</v>
      </c>
      <c r="BC179" s="187">
        <f t="shared" si="213"/>
        <v>1.0794223041621327</v>
      </c>
      <c r="BD179" s="1136">
        <f t="shared" si="204"/>
        <v>0.12360628631676888</v>
      </c>
      <c r="BG179" s="1132"/>
      <c r="BH179" s="1132"/>
      <c r="BI179" s="1132"/>
    </row>
    <row r="180" spans="1:61" x14ac:dyDescent="0.2">
      <c r="A180" s="1135">
        <v>7.1355598155062067E-2</v>
      </c>
      <c r="B180" s="1135">
        <v>3.5121656230226284E-2</v>
      </c>
      <c r="C180" s="1135"/>
      <c r="D180" s="1135">
        <v>5.2681584893784085E-2</v>
      </c>
      <c r="E180" s="187">
        <v>4.8333148775610797E-2</v>
      </c>
      <c r="F180" s="187"/>
      <c r="G180" s="187">
        <v>6.2861888755205819E-2</v>
      </c>
      <c r="H180" s="187">
        <v>4.2704431534069782E-2</v>
      </c>
      <c r="I180" s="187"/>
      <c r="J180" s="187">
        <v>5.4128713832161737E-2</v>
      </c>
      <c r="K180" s="187">
        <v>4.7553688530272177E-2</v>
      </c>
      <c r="L180" s="187"/>
      <c r="M180" s="187">
        <v>6.4076962810939622E-2</v>
      </c>
      <c r="N180" s="187">
        <v>4.1616282360578148E-2</v>
      </c>
      <c r="O180" s="187"/>
      <c r="P180" s="187">
        <v>5.9939342485595182E-2</v>
      </c>
      <c r="Q180" s="187">
        <v>4.2164880775314439E-2</v>
      </c>
      <c r="R180" s="187"/>
      <c r="S180" s="187">
        <v>5.3449996399288088E-2</v>
      </c>
      <c r="T180" s="187">
        <v>4.9463493925084631E-2</v>
      </c>
      <c r="U180" s="187"/>
      <c r="V180" s="1138">
        <f t="shared" si="194"/>
        <v>6.2861888755205819E-2</v>
      </c>
      <c r="W180" s="1138">
        <f t="shared" si="195"/>
        <v>4.2704431534069782E-2</v>
      </c>
      <c r="Y180" s="1132">
        <v>15</v>
      </c>
      <c r="Z180" s="44">
        <v>288</v>
      </c>
      <c r="AA180" s="1135">
        <f t="shared" si="205"/>
        <v>6.2861888755205819E-2</v>
      </c>
      <c r="AB180" s="1135">
        <f t="shared" si="196"/>
        <v>4.2704431534069782E-2</v>
      </c>
      <c r="AC180" s="1132">
        <f t="shared" si="151"/>
        <v>14.5</v>
      </c>
      <c r="AD180" s="1133">
        <f t="shared" si="206"/>
        <v>37.5</v>
      </c>
      <c r="AE180" s="186">
        <f t="shared" si="197"/>
        <v>-9.5838777353520346</v>
      </c>
      <c r="AF180" s="40">
        <f t="shared" si="198"/>
        <v>1.0986642286132928</v>
      </c>
      <c r="AG180" s="13">
        <f t="shared" si="199"/>
        <v>48.324448524152906</v>
      </c>
      <c r="AH180" s="1132">
        <f t="shared" si="207"/>
        <v>1</v>
      </c>
      <c r="AI180" s="1132">
        <f t="shared" si="208"/>
        <v>1</v>
      </c>
      <c r="AJ180" s="187">
        <f t="shared" si="209"/>
        <v>1.0986642286132928</v>
      </c>
      <c r="AK180" s="1136">
        <f t="shared" si="200"/>
        <v>0.10924321006424167</v>
      </c>
      <c r="AR180" s="1132">
        <v>15</v>
      </c>
      <c r="AS180" s="44">
        <v>288</v>
      </c>
      <c r="AT180" s="1135">
        <f t="shared" si="152"/>
        <v>6.2861888755205819E-2</v>
      </c>
      <c r="AU180" s="1135">
        <f t="shared" si="150"/>
        <v>4.2704431534069782E-2</v>
      </c>
      <c r="AV180" s="1132">
        <f t="shared" si="153"/>
        <v>14.5</v>
      </c>
      <c r="AW180" s="1133">
        <f t="shared" si="210"/>
        <v>37.5</v>
      </c>
      <c r="AX180" s="186">
        <f t="shared" si="201"/>
        <v>-9.5838777353520346</v>
      </c>
      <c r="AY180" s="40">
        <f t="shared" si="202"/>
        <v>1.0986642286132928</v>
      </c>
      <c r="AZ180" s="13">
        <f t="shared" si="203"/>
        <v>48.324448524152906</v>
      </c>
      <c r="BA180" s="1132">
        <f t="shared" si="211"/>
        <v>1</v>
      </c>
      <c r="BB180" s="1132">
        <f t="shared" si="212"/>
        <v>1</v>
      </c>
      <c r="BC180" s="187">
        <f t="shared" si="213"/>
        <v>1.0986642286132928</v>
      </c>
      <c r="BD180" s="1136">
        <f t="shared" si="204"/>
        <v>0.10924321006424167</v>
      </c>
      <c r="BG180" s="1132"/>
      <c r="BH180" s="1132"/>
      <c r="BI180" s="1132"/>
    </row>
    <row r="181" spans="1:61" x14ac:dyDescent="0.2">
      <c r="A181" s="1135">
        <v>4.9229781045684859E-2</v>
      </c>
      <c r="B181" s="1135">
        <v>2.7335656367959718E-2</v>
      </c>
      <c r="C181" s="1135"/>
      <c r="D181" s="1135">
        <v>4.0962509366433558E-2</v>
      </c>
      <c r="E181" s="187">
        <v>3.8867664332609325E-2</v>
      </c>
      <c r="F181" s="187"/>
      <c r="G181" s="187">
        <v>4.0713479156878896E-2</v>
      </c>
      <c r="H181" s="187">
        <v>3.5436706878985785E-2</v>
      </c>
      <c r="I181" s="187"/>
      <c r="J181" s="187">
        <v>3.9100084570699724E-2</v>
      </c>
      <c r="K181" s="187">
        <v>3.6355002842130113E-2</v>
      </c>
      <c r="L181" s="187"/>
      <c r="M181" s="187">
        <v>4.1512380190902934E-2</v>
      </c>
      <c r="N181" s="187">
        <v>3.5427671225827906E-2</v>
      </c>
      <c r="O181" s="187"/>
      <c r="P181" s="187">
        <v>4.5203667863378497E-2</v>
      </c>
      <c r="Q181" s="187">
        <v>3.3832155281098938E-2</v>
      </c>
      <c r="R181" s="187"/>
      <c r="S181" s="187">
        <v>3.7444831949631191E-2</v>
      </c>
      <c r="T181" s="187">
        <v>4.1631945516084901E-2</v>
      </c>
      <c r="U181" s="187"/>
      <c r="V181" s="1138">
        <f t="shared" si="194"/>
        <v>4.0713479156878896E-2</v>
      </c>
      <c r="W181" s="1138">
        <f t="shared" si="195"/>
        <v>3.5436706878985785E-2</v>
      </c>
      <c r="Y181" s="1132">
        <v>16</v>
      </c>
      <c r="Z181" s="44">
        <v>288</v>
      </c>
      <c r="AA181" s="1135">
        <f t="shared" si="205"/>
        <v>4.0713479156878896E-2</v>
      </c>
      <c r="AB181" s="1135">
        <f t="shared" si="196"/>
        <v>3.5436706878985785E-2</v>
      </c>
      <c r="AC181" s="1132">
        <f t="shared" si="151"/>
        <v>15.5</v>
      </c>
      <c r="AD181" s="1133">
        <f t="shared" si="206"/>
        <v>52.5</v>
      </c>
      <c r="AE181" s="186">
        <f t="shared" si="197"/>
        <v>-9.5838777353520346</v>
      </c>
      <c r="AF181" s="40">
        <f t="shared" si="198"/>
        <v>1.1127513082983831</v>
      </c>
      <c r="AG181" s="13">
        <f t="shared" si="199"/>
        <v>36.459923891819841</v>
      </c>
      <c r="AH181" s="1132">
        <f t="shared" si="207"/>
        <v>1</v>
      </c>
      <c r="AI181" s="1132">
        <f t="shared" si="208"/>
        <v>1</v>
      </c>
      <c r="AJ181" s="187">
        <f t="shared" si="209"/>
        <v>1.1127513082983831</v>
      </c>
      <c r="AK181" s="1136">
        <f t="shared" si="200"/>
        <v>7.8377286685053074E-2</v>
      </c>
      <c r="AR181" s="1132">
        <v>16</v>
      </c>
      <c r="AS181" s="44">
        <v>288</v>
      </c>
      <c r="AT181" s="1135">
        <f t="shared" si="152"/>
        <v>4.0713479156878896E-2</v>
      </c>
      <c r="AU181" s="1135">
        <f t="shared" si="150"/>
        <v>3.5436706878985785E-2</v>
      </c>
      <c r="AV181" s="1132">
        <f t="shared" si="153"/>
        <v>15.5</v>
      </c>
      <c r="AW181" s="1133">
        <f t="shared" si="210"/>
        <v>52.5</v>
      </c>
      <c r="AX181" s="186">
        <f t="shared" si="201"/>
        <v>-9.5838777353520346</v>
      </c>
      <c r="AY181" s="40">
        <f t="shared" si="202"/>
        <v>1.1127513082983831</v>
      </c>
      <c r="AZ181" s="13">
        <f t="shared" si="203"/>
        <v>36.459923891819841</v>
      </c>
      <c r="BA181" s="1132">
        <f t="shared" si="211"/>
        <v>1</v>
      </c>
      <c r="BB181" s="1132">
        <f t="shared" si="212"/>
        <v>1</v>
      </c>
      <c r="BC181" s="187">
        <f t="shared" si="213"/>
        <v>1.1127513082983831</v>
      </c>
      <c r="BD181" s="1136">
        <f t="shared" si="204"/>
        <v>7.8377286685053074E-2</v>
      </c>
      <c r="BG181" s="1132"/>
      <c r="BH181" s="1132"/>
      <c r="BI181" s="1132"/>
    </row>
    <row r="182" spans="1:61" x14ac:dyDescent="0.2">
      <c r="A182" s="1135">
        <v>2.6299976265770984E-2</v>
      </c>
      <c r="B182" s="1135">
        <v>2.2225193745387943E-2</v>
      </c>
      <c r="C182" s="1135"/>
      <c r="D182" s="1135">
        <v>2.1358376848458295E-2</v>
      </c>
      <c r="E182" s="187">
        <v>2.7929257673978906E-2</v>
      </c>
      <c r="F182" s="187"/>
      <c r="G182" s="187">
        <v>2.5352832479848895E-2</v>
      </c>
      <c r="H182" s="187">
        <v>2.4097260069045251E-2</v>
      </c>
      <c r="I182" s="187"/>
      <c r="J182" s="187">
        <v>2.3489165245601632E-2</v>
      </c>
      <c r="K182" s="187">
        <v>2.3918950768761542E-2</v>
      </c>
      <c r="L182" s="187"/>
      <c r="M182" s="187">
        <v>2.5943876995663816E-2</v>
      </c>
      <c r="N182" s="187">
        <v>2.7147163074950086E-2</v>
      </c>
      <c r="O182" s="187"/>
      <c r="P182" s="187">
        <v>2.640883177382369E-2</v>
      </c>
      <c r="Q182" s="187">
        <v>2.50298767061213E-2</v>
      </c>
      <c r="R182" s="187"/>
      <c r="S182" s="187">
        <v>2.1357365513410081E-2</v>
      </c>
      <c r="T182" s="187">
        <v>3.1823863461004284E-2</v>
      </c>
      <c r="U182" s="187"/>
      <c r="V182" s="1138">
        <f t="shared" si="194"/>
        <v>2.5352832479848895E-2</v>
      </c>
      <c r="W182" s="1138">
        <f t="shared" si="195"/>
        <v>2.4097260069045251E-2</v>
      </c>
      <c r="Y182" s="1132">
        <v>17</v>
      </c>
      <c r="Z182" s="44">
        <v>288</v>
      </c>
      <c r="AA182" s="1135">
        <f t="shared" si="205"/>
        <v>2.5352832479848895E-2</v>
      </c>
      <c r="AB182" s="1135">
        <f t="shared" si="196"/>
        <v>2.4097260069045251E-2</v>
      </c>
      <c r="AC182" s="1132">
        <f t="shared" si="151"/>
        <v>16.5</v>
      </c>
      <c r="AD182" s="1133">
        <f t="shared" si="206"/>
        <v>67.5</v>
      </c>
      <c r="AE182" s="186">
        <f t="shared" si="197"/>
        <v>-9.5838777353520346</v>
      </c>
      <c r="AF182" s="40">
        <f t="shared" si="198"/>
        <v>1.118538250323122</v>
      </c>
      <c r="AG182" s="13">
        <f t="shared" si="199"/>
        <v>24.03416560538162</v>
      </c>
      <c r="AH182" s="1132">
        <f t="shared" si="207"/>
        <v>1</v>
      </c>
      <c r="AI182" s="1132">
        <f t="shared" si="208"/>
        <v>1</v>
      </c>
      <c r="AJ182" s="187">
        <f t="shared" si="209"/>
        <v>1.118538250323122</v>
      </c>
      <c r="AK182" s="1136">
        <f t="shared" si="200"/>
        <v>5.0793676186234898E-2</v>
      </c>
      <c r="AR182" s="1132">
        <v>17</v>
      </c>
      <c r="AS182" s="44">
        <v>288</v>
      </c>
      <c r="AT182" s="1135">
        <f t="shared" si="152"/>
        <v>2.5352832479848895E-2</v>
      </c>
      <c r="AU182" s="1135">
        <f t="shared" ref="AU182:AU221" si="214">W182</f>
        <v>2.4097260069045251E-2</v>
      </c>
      <c r="AV182" s="1132">
        <f t="shared" si="153"/>
        <v>16.5</v>
      </c>
      <c r="AW182" s="1133">
        <f t="shared" si="210"/>
        <v>67.5</v>
      </c>
      <c r="AX182" s="186">
        <f t="shared" si="201"/>
        <v>-9.5838777353520346</v>
      </c>
      <c r="AY182" s="40">
        <f t="shared" si="202"/>
        <v>1.118538250323122</v>
      </c>
      <c r="AZ182" s="13">
        <f t="shared" si="203"/>
        <v>24.03416560538162</v>
      </c>
      <c r="BA182" s="1132">
        <f t="shared" si="211"/>
        <v>1</v>
      </c>
      <c r="BB182" s="1132">
        <f t="shared" si="212"/>
        <v>1</v>
      </c>
      <c r="BC182" s="187">
        <f t="shared" si="213"/>
        <v>1.118538250323122</v>
      </c>
      <c r="BD182" s="1136">
        <f t="shared" si="204"/>
        <v>5.0793676186234898E-2</v>
      </c>
      <c r="BG182" s="1132"/>
      <c r="BH182" s="1132"/>
      <c r="BI182" s="1132"/>
    </row>
    <row r="183" spans="1:61" x14ac:dyDescent="0.2">
      <c r="A183" s="1135">
        <v>4.5811787320556322E-3</v>
      </c>
      <c r="B183" s="1135">
        <v>1.161810261506754E-2</v>
      </c>
      <c r="C183" s="1135"/>
      <c r="D183" s="1135">
        <v>4.7485077917424103E-3</v>
      </c>
      <c r="E183" s="187">
        <v>1.4496111246742048E-2</v>
      </c>
      <c r="F183" s="187"/>
      <c r="G183" s="187">
        <v>5.9914849882598178E-3</v>
      </c>
      <c r="H183" s="187">
        <v>1.4346172559569156E-2</v>
      </c>
      <c r="I183" s="187"/>
      <c r="J183" s="187">
        <v>8.5159921806763003E-3</v>
      </c>
      <c r="K183" s="187">
        <v>1.2505372319039504E-2</v>
      </c>
      <c r="L183" s="187"/>
      <c r="M183" s="187">
        <v>6.2559001589208426E-3</v>
      </c>
      <c r="N183" s="187">
        <v>1.597421642920898E-2</v>
      </c>
      <c r="O183" s="187"/>
      <c r="P183" s="187">
        <v>8.0440141922442938E-3</v>
      </c>
      <c r="Q183" s="187">
        <v>1.485648893685567E-2</v>
      </c>
      <c r="R183" s="187"/>
      <c r="S183" s="187">
        <v>7.350596175015176E-3</v>
      </c>
      <c r="T183" s="187">
        <v>1.906062570085286E-2</v>
      </c>
      <c r="U183" s="187"/>
      <c r="V183" s="1138">
        <f t="shared" si="194"/>
        <v>5.9914849882598178E-3</v>
      </c>
      <c r="W183" s="1138">
        <f t="shared" si="195"/>
        <v>1.4346172559569156E-2</v>
      </c>
      <c r="Y183" s="1132">
        <v>18</v>
      </c>
      <c r="Z183" s="44">
        <v>288</v>
      </c>
      <c r="AA183" s="1135">
        <f t="shared" si="205"/>
        <v>5.9914849882598178E-3</v>
      </c>
      <c r="AB183" s="1135">
        <f t="shared" si="196"/>
        <v>1.4346172559569156E-2</v>
      </c>
      <c r="AC183" s="1132">
        <f t="shared" ref="AC183:AC221" si="215">Y183-0.5</f>
        <v>17.5</v>
      </c>
      <c r="AD183" s="1133">
        <f t="shared" si="206"/>
        <v>82.5</v>
      </c>
      <c r="AE183" s="186">
        <f t="shared" si="197"/>
        <v>-9.5838777353520346</v>
      </c>
      <c r="AF183" s="40">
        <f t="shared" si="198"/>
        <v>1.0945771314273343</v>
      </c>
      <c r="AG183" s="13">
        <f t="shared" si="199"/>
        <v>11.462479318275141</v>
      </c>
      <c r="AH183" s="1132">
        <f t="shared" si="207"/>
        <v>1</v>
      </c>
      <c r="AI183" s="1132">
        <f t="shared" si="208"/>
        <v>1</v>
      </c>
      <c r="AJ183" s="187">
        <f t="shared" si="209"/>
        <v>1.0945771314273343</v>
      </c>
      <c r="AK183" s="1136">
        <f t="shared" si="200"/>
        <v>1.9702112281094423E-2</v>
      </c>
      <c r="AR183" s="1132">
        <v>18</v>
      </c>
      <c r="AS183" s="44">
        <v>288</v>
      </c>
      <c r="AT183" s="1135">
        <f t="shared" ref="AT183:AT221" si="216">V183</f>
        <v>5.9914849882598178E-3</v>
      </c>
      <c r="AU183" s="1135">
        <f t="shared" si="214"/>
        <v>1.4346172559569156E-2</v>
      </c>
      <c r="AV183" s="1132">
        <f t="shared" ref="AV183:AV221" si="217">AR183-0.5</f>
        <v>17.5</v>
      </c>
      <c r="AW183" s="1133">
        <f t="shared" si="210"/>
        <v>82.5</v>
      </c>
      <c r="AX183" s="186">
        <f t="shared" si="201"/>
        <v>-9.5838777353520346</v>
      </c>
      <c r="AY183" s="40">
        <f t="shared" si="202"/>
        <v>1.0945771314273343</v>
      </c>
      <c r="AZ183" s="13">
        <f t="shared" si="203"/>
        <v>11.462479318275141</v>
      </c>
      <c r="BA183" s="1132">
        <f t="shared" si="211"/>
        <v>1</v>
      </c>
      <c r="BB183" s="1132">
        <f t="shared" si="212"/>
        <v>1</v>
      </c>
      <c r="BC183" s="187">
        <f t="shared" si="213"/>
        <v>1.0945771314273343</v>
      </c>
      <c r="BD183" s="1136">
        <f t="shared" si="204"/>
        <v>1.9702112281094423E-2</v>
      </c>
      <c r="BG183" s="1132"/>
      <c r="BH183" s="1132"/>
      <c r="BI183" s="1132"/>
    </row>
    <row r="184" spans="1:61" x14ac:dyDescent="0.2">
      <c r="A184" s="1135">
        <v>0</v>
      </c>
      <c r="B184" s="1135">
        <v>2.6409696754748735E-4</v>
      </c>
      <c r="C184" s="1135"/>
      <c r="D184" s="1135">
        <v>0</v>
      </c>
      <c r="E184" s="187">
        <v>5.6364895154695184E-4</v>
      </c>
      <c r="F184" s="187"/>
      <c r="G184" s="187">
        <v>0</v>
      </c>
      <c r="H184" s="187">
        <v>5.0241608390578119E-4</v>
      </c>
      <c r="I184" s="187"/>
      <c r="J184" s="187">
        <v>1.7884623383105248E-3</v>
      </c>
      <c r="K184" s="187">
        <v>3.809147499618738E-3</v>
      </c>
      <c r="L184" s="187"/>
      <c r="M184" s="187">
        <v>1.0983943651379525E-4</v>
      </c>
      <c r="N184" s="187">
        <v>1.1924010900821918E-3</v>
      </c>
      <c r="O184" s="187"/>
      <c r="P184" s="187">
        <v>3.4198568515190267E-5</v>
      </c>
      <c r="Q184" s="187">
        <v>1.2975913996620763E-3</v>
      </c>
      <c r="R184" s="187"/>
      <c r="S184" s="187">
        <v>3.2277810355647461E-4</v>
      </c>
      <c r="T184" s="187">
        <v>4.3735790047632287E-3</v>
      </c>
      <c r="U184" s="187"/>
      <c r="V184" s="1138">
        <f t="shared" si="194"/>
        <v>0</v>
      </c>
      <c r="W184" s="1138">
        <f t="shared" si="195"/>
        <v>5.0241608390578119E-4</v>
      </c>
      <c r="Y184" s="1132">
        <v>19</v>
      </c>
      <c r="Z184" s="44">
        <v>288</v>
      </c>
      <c r="AA184" s="1135">
        <f t="shared" si="205"/>
        <v>0</v>
      </c>
      <c r="AB184" s="1135">
        <f t="shared" si="196"/>
        <v>5.0241608390578119E-4</v>
      </c>
      <c r="AC184" s="1132">
        <f t="shared" si="215"/>
        <v>18.5</v>
      </c>
      <c r="AD184" s="1133">
        <f t="shared" si="206"/>
        <v>97.5</v>
      </c>
      <c r="AE184" s="186">
        <f t="shared" si="197"/>
        <v>-9.5838777353520346</v>
      </c>
      <c r="AF184" s="40">
        <f t="shared" si="198"/>
        <v>2.1313992704727953</v>
      </c>
      <c r="AG184" s="13">
        <f t="shared" si="199"/>
        <v>-0.98513565334146846</v>
      </c>
      <c r="AH184" s="1132">
        <f t="shared" si="207"/>
        <v>0</v>
      </c>
      <c r="AI184" s="1132">
        <f t="shared" si="208"/>
        <v>1</v>
      </c>
      <c r="AJ184" s="187">
        <f t="shared" si="209"/>
        <v>0</v>
      </c>
      <c r="AK184" s="1136">
        <f t="shared" si="200"/>
        <v>4.5540551239649918E-4</v>
      </c>
      <c r="AR184" s="1132">
        <v>19</v>
      </c>
      <c r="AS184" s="44">
        <v>288</v>
      </c>
      <c r="AT184" s="1135">
        <f t="shared" si="216"/>
        <v>0</v>
      </c>
      <c r="AU184" s="1135">
        <f t="shared" si="214"/>
        <v>5.0241608390578119E-4</v>
      </c>
      <c r="AV184" s="1132">
        <f t="shared" si="217"/>
        <v>18.5</v>
      </c>
      <c r="AW184" s="1133">
        <f t="shared" si="210"/>
        <v>97.5</v>
      </c>
      <c r="AX184" s="186">
        <f t="shared" si="201"/>
        <v>-9.5838777353520346</v>
      </c>
      <c r="AY184" s="40">
        <f t="shared" si="202"/>
        <v>2.1313992704727953</v>
      </c>
      <c r="AZ184" s="13">
        <f t="shared" si="203"/>
        <v>-0.98513565334146846</v>
      </c>
      <c r="BA184" s="1132">
        <f t="shared" si="211"/>
        <v>0</v>
      </c>
      <c r="BB184" s="1132">
        <f t="shared" si="212"/>
        <v>1</v>
      </c>
      <c r="BC184" s="187">
        <f t="shared" si="213"/>
        <v>0</v>
      </c>
      <c r="BD184" s="1136">
        <f t="shared" si="204"/>
        <v>4.5540551239649918E-4</v>
      </c>
      <c r="BG184" s="1132"/>
      <c r="BH184" s="1132"/>
      <c r="BI184" s="1132"/>
    </row>
    <row r="185" spans="1:61" x14ac:dyDescent="0.2">
      <c r="A185" s="1135">
        <v>0</v>
      </c>
      <c r="B185" s="1135">
        <v>0</v>
      </c>
      <c r="C185" s="1135"/>
      <c r="D185" s="1135">
        <v>0</v>
      </c>
      <c r="E185" s="187">
        <v>0</v>
      </c>
      <c r="F185" s="187"/>
      <c r="G185" s="187">
        <v>0</v>
      </c>
      <c r="H185" s="187">
        <v>0</v>
      </c>
      <c r="I185" s="187"/>
      <c r="J185" s="187">
        <v>0</v>
      </c>
      <c r="K185" s="187">
        <v>0</v>
      </c>
      <c r="L185" s="187"/>
      <c r="M185" s="187">
        <v>0</v>
      </c>
      <c r="N185" s="187">
        <v>0</v>
      </c>
      <c r="O185" s="187"/>
      <c r="P185" s="187">
        <v>0</v>
      </c>
      <c r="Q185" s="187">
        <v>0</v>
      </c>
      <c r="R185" s="187"/>
      <c r="S185" s="187">
        <v>2.571937080131272E-6</v>
      </c>
      <c r="T185" s="187">
        <v>4.3722930362231624E-5</v>
      </c>
      <c r="U185" s="187"/>
      <c r="V185" s="1138">
        <f t="shared" si="194"/>
        <v>0</v>
      </c>
      <c r="W185" s="1138">
        <f t="shared" si="195"/>
        <v>0</v>
      </c>
      <c r="Y185" s="1132">
        <v>20</v>
      </c>
      <c r="Z185" s="44">
        <v>288</v>
      </c>
      <c r="AA185" s="1135">
        <f t="shared" si="205"/>
        <v>0</v>
      </c>
      <c r="AB185" s="1135">
        <f t="shared" si="196"/>
        <v>0</v>
      </c>
      <c r="AC185" s="1132">
        <f t="shared" si="215"/>
        <v>19.5</v>
      </c>
      <c r="AD185" s="1133">
        <f t="shared" si="206"/>
        <v>112.5</v>
      </c>
      <c r="AE185" s="186">
        <f t="shared" si="197"/>
        <v>-9.5838777353520346</v>
      </c>
      <c r="AF185" s="40">
        <f t="shared" si="198"/>
        <v>1.2826792703092553</v>
      </c>
      <c r="AG185" s="13">
        <f t="shared" si="199"/>
        <v>-13.047712982884454</v>
      </c>
      <c r="AH185" s="1132">
        <f t="shared" si="207"/>
        <v>0</v>
      </c>
      <c r="AI185" s="1132">
        <f t="shared" si="208"/>
        <v>1</v>
      </c>
      <c r="AJ185" s="187">
        <f t="shared" si="209"/>
        <v>0</v>
      </c>
      <c r="AK185" s="1136">
        <f t="shared" si="200"/>
        <v>0</v>
      </c>
      <c r="AR185" s="1132">
        <v>20</v>
      </c>
      <c r="AS185" s="44">
        <v>288</v>
      </c>
      <c r="AT185" s="1135">
        <f t="shared" si="216"/>
        <v>0</v>
      </c>
      <c r="AU185" s="1135">
        <f t="shared" si="214"/>
        <v>0</v>
      </c>
      <c r="AV185" s="1132">
        <f t="shared" si="217"/>
        <v>19.5</v>
      </c>
      <c r="AW185" s="1133">
        <f t="shared" si="210"/>
        <v>112.5</v>
      </c>
      <c r="AX185" s="186">
        <f t="shared" si="201"/>
        <v>-9.5838777353520346</v>
      </c>
      <c r="AY185" s="40">
        <f t="shared" si="202"/>
        <v>1.2826792703092553</v>
      </c>
      <c r="AZ185" s="13">
        <f t="shared" si="203"/>
        <v>-13.047712982884454</v>
      </c>
      <c r="BA185" s="1132">
        <f t="shared" si="211"/>
        <v>0</v>
      </c>
      <c r="BB185" s="1132">
        <f t="shared" si="212"/>
        <v>1</v>
      </c>
      <c r="BC185" s="187">
        <f t="shared" si="213"/>
        <v>0</v>
      </c>
      <c r="BD185" s="1136">
        <f t="shared" si="204"/>
        <v>0</v>
      </c>
      <c r="BG185" s="1132"/>
      <c r="BH185" s="1132"/>
      <c r="BI185" s="1132"/>
    </row>
    <row r="186" spans="1:61" x14ac:dyDescent="0.2">
      <c r="A186" s="1135"/>
      <c r="B186" s="1135"/>
      <c r="C186" s="1135"/>
      <c r="D186" s="1135"/>
      <c r="E186" s="187"/>
      <c r="F186" s="187"/>
      <c r="G186" s="187"/>
      <c r="H186" s="187"/>
      <c r="I186" s="187"/>
      <c r="J186" s="187"/>
      <c r="K186" s="187"/>
      <c r="L186" s="187"/>
      <c r="M186" s="187"/>
      <c r="N186" s="187"/>
      <c r="O186" s="187"/>
      <c r="P186" s="187"/>
      <c r="Q186" s="187"/>
      <c r="R186" s="187"/>
      <c r="S186" s="187"/>
      <c r="T186" s="187"/>
      <c r="U186" s="187"/>
      <c r="V186" s="1138"/>
      <c r="W186" s="1138"/>
      <c r="Y186" s="11"/>
      <c r="Z186" s="1139"/>
      <c r="AA186" s="11"/>
      <c r="AC186" s="1132">
        <f t="shared" si="215"/>
        <v>-0.5</v>
      </c>
      <c r="AF186" s="187"/>
      <c r="AK186" s="187">
        <f>SUM(AK170:AK185)</f>
        <v>0.96980061032649478</v>
      </c>
      <c r="AR186" s="11"/>
      <c r="AS186" s="1139"/>
      <c r="AT186" s="1135"/>
      <c r="AU186" s="1135"/>
      <c r="AV186" s="1132">
        <f t="shared" si="217"/>
        <v>-0.5</v>
      </c>
      <c r="AY186" s="40"/>
      <c r="BD186" s="187">
        <f>SUM(BD170:BD185)</f>
        <v>0.96980061032649478</v>
      </c>
      <c r="BG186" s="1132"/>
      <c r="BH186" s="1132"/>
      <c r="BI186" s="1132"/>
    </row>
    <row r="187" spans="1:61" x14ac:dyDescent="0.2">
      <c r="A187" s="1135" t="s">
        <v>1266</v>
      </c>
      <c r="B187" s="1135"/>
      <c r="C187" s="1135"/>
      <c r="D187" s="1135" t="s">
        <v>1266</v>
      </c>
      <c r="E187" s="187"/>
      <c r="F187" s="187"/>
      <c r="G187" s="187" t="s">
        <v>1266</v>
      </c>
      <c r="H187" s="187"/>
      <c r="I187" s="187"/>
      <c r="J187" s="187" t="s">
        <v>1266</v>
      </c>
      <c r="K187" s="187"/>
      <c r="L187" s="187"/>
      <c r="M187" s="187" t="s">
        <v>1266</v>
      </c>
      <c r="N187" s="187"/>
      <c r="O187" s="187"/>
      <c r="P187" s="187" t="s">
        <v>1266</v>
      </c>
      <c r="Q187" s="187"/>
      <c r="R187" s="187"/>
      <c r="S187" s="187" t="s">
        <v>1266</v>
      </c>
      <c r="T187" s="187"/>
      <c r="U187" s="187"/>
      <c r="V187" s="1138"/>
      <c r="W187" s="1138"/>
      <c r="Z187" s="44"/>
      <c r="AC187" s="1132">
        <f t="shared" si="215"/>
        <v>-0.5</v>
      </c>
      <c r="AS187" s="44"/>
      <c r="AT187" s="1135"/>
      <c r="AU187" s="1135"/>
      <c r="AV187" s="1132">
        <f t="shared" si="217"/>
        <v>-0.5</v>
      </c>
      <c r="AY187" s="40"/>
      <c r="BG187" s="1132"/>
      <c r="BH187" s="1132"/>
      <c r="BI187" s="1132"/>
    </row>
    <row r="188" spans="1:61" x14ac:dyDescent="0.2">
      <c r="A188" s="1135">
        <v>0</v>
      </c>
      <c r="B188" s="1135">
        <v>0</v>
      </c>
      <c r="C188" s="1135"/>
      <c r="D188" s="1135">
        <v>0</v>
      </c>
      <c r="E188" s="187">
        <v>0</v>
      </c>
      <c r="F188" s="187"/>
      <c r="G188" s="187">
        <v>0</v>
      </c>
      <c r="H188" s="187">
        <v>0</v>
      </c>
      <c r="I188" s="187"/>
      <c r="J188" s="187">
        <v>1.1446820931660353E-5</v>
      </c>
      <c r="K188" s="187">
        <v>8.4134133847677244E-4</v>
      </c>
      <c r="L188" s="187"/>
      <c r="M188" s="187">
        <v>0</v>
      </c>
      <c r="N188" s="187">
        <v>2.2066828808750328E-5</v>
      </c>
      <c r="O188" s="187"/>
      <c r="P188" s="187">
        <v>0</v>
      </c>
      <c r="Q188" s="187">
        <v>6.4602084717663727E-5</v>
      </c>
      <c r="R188" s="187"/>
      <c r="S188" s="187">
        <v>1.0026609750398449E-4</v>
      </c>
      <c r="T188" s="187">
        <v>2.2232917272622648E-3</v>
      </c>
      <c r="U188" s="187"/>
      <c r="V188" s="1138">
        <f t="shared" ref="V188:V203" si="218">CHOOSE($B$1,A188,D188,G188,J188,M188,P188,S188)</f>
        <v>0</v>
      </c>
      <c r="W188" s="1138">
        <f t="shared" ref="W188:W203" si="219">CHOOSE($B$1,B188,E188,H188,K188,N188,Q188,T188)</f>
        <v>0</v>
      </c>
      <c r="Y188" s="1132">
        <v>5</v>
      </c>
      <c r="Z188" s="44">
        <v>319</v>
      </c>
      <c r="AA188" s="1135">
        <f>V188</f>
        <v>0</v>
      </c>
      <c r="AB188" s="1135">
        <f t="shared" ref="AB188:AB203" si="220">W188</f>
        <v>0</v>
      </c>
      <c r="AC188" s="1132">
        <f t="shared" si="215"/>
        <v>4.5</v>
      </c>
      <c r="AD188" s="1133">
        <f>15*(AC188-12)</f>
        <v>-112.5</v>
      </c>
      <c r="AE188" s="186">
        <f t="shared" ref="AE188:AE203" si="221">23.45*SIN(360*(284+Z188)/365/57.3)</f>
        <v>-19.137461472619361</v>
      </c>
      <c r="AF188" s="40">
        <f t="shared" ref="AF188:AF203" si="222">((SIN(AE188/57.3)*SIN($B$2/57.3)*COS($Z$2/57.3))-SIN(AE188/57.3)*COS($B$2/57.3)*SIN($Z$2/57.3)*COS($Z$3/57.3)+COS(AE188/57.3)*COS($B$2/57.3)*COS($Z$2/57.3)*COS(AD188/57.3)+COS(AE188/57.3)*SIN($B$2/57.3)*SIN($Z$2/57.3)*COS($Z$3/57.3)*COS(AD188/57.3)+COS(AE188/57.3)*SIN($Z$2/57.3)*SIN($Z$3/57.3)*SIN(AD188/57.3))/(COS($B$2/57.3)*COS(AE188/57.3)*COS(AD188/57.3)+SIN($B$2/57.3)*SIN(AE188/57.3))</f>
        <v>3.9458174574911142</v>
      </c>
      <c r="AG188" s="13">
        <f t="shared" ref="AG188:AG203" si="223">57.3*ASIN(SIN($B$2/57.3)*SIN(AE188/57.3)+COS($B$2/57.3)*COS(AD188/57.3)*COS(AE188/57.6))</f>
        <v>-7.1678863819633243</v>
      </c>
      <c r="AH188" s="1132">
        <f>IF(AG188&lt;0,0,1)</f>
        <v>0</v>
      </c>
      <c r="AI188" s="1132">
        <f>IF(AF188&lt;0,0,1)</f>
        <v>1</v>
      </c>
      <c r="AJ188" s="187">
        <f>AF188*AI188*AH188</f>
        <v>0</v>
      </c>
      <c r="AK188" s="1136">
        <f t="shared" ref="AK188:AK203" si="224">AA188*AJ188+((1+COS($Z$2/57.3))/2)*AB188+((1-COS($Z$2/57.3))/2)*(AA188+AB188)*0.2</f>
        <v>0</v>
      </c>
      <c r="AR188" s="1132">
        <v>5</v>
      </c>
      <c r="AS188" s="44">
        <v>319</v>
      </c>
      <c r="AT188" s="1135">
        <f t="shared" si="216"/>
        <v>0</v>
      </c>
      <c r="AU188" s="1135">
        <f t="shared" si="214"/>
        <v>0</v>
      </c>
      <c r="AV188" s="1132">
        <f t="shared" si="217"/>
        <v>4.5</v>
      </c>
      <c r="AW188" s="1133">
        <f>15*(AV188-12)</f>
        <v>-112.5</v>
      </c>
      <c r="AX188" s="186">
        <f t="shared" ref="AX188:AX203" si="225">23.45*SIN(360*(284+AS188)/365/57.3)</f>
        <v>-19.137461472619361</v>
      </c>
      <c r="AY188" s="40">
        <f t="shared" ref="AY188:AY203" si="226">((SIN(AX188/57.3)*SIN($B$2/57.3)*COS($AS$2/57.3))-SIN(AX188/57.3)*COS($B$2/57.3)*SIN($AS$2/57.3)*COS($AS$3/57.3)+COS(AX188/57.3)*COS($B$2/57.3)*COS($AS$2/57.3)*COS(AW188/57.3)+COS(AX188/57.3)*SIN($B$2/57.3)*SIN($AS$2/57.3)*COS($AS$3/57.3)*COS(AW188/57.3)+COS(AX188/57.3)*SIN($AS$2/57.3)*SIN($AS$3/57.3)*SIN(AW188/57.3))/(COS($B$2/57.3)*COS(AX188/57.3)*COS(AW188/57.3)+SIN($B$2/57.3)*SIN(AX188/57.3))</f>
        <v>3.9458174574911142</v>
      </c>
      <c r="AZ188" s="13">
        <f t="shared" ref="AZ188:AZ203" si="227">57.3*ASIN(SIN($B$2/57.3)*SIN(AX188/57.3)+COS($B$2/57.3)*COS(AW188/57.3)*COS(AX188/57.6))</f>
        <v>-7.1678863819633243</v>
      </c>
      <c r="BA188" s="1132">
        <f>IF(AZ188&lt;0,0,1)</f>
        <v>0</v>
      </c>
      <c r="BB188" s="1132">
        <f>IF(AY188&lt;0,0,1)</f>
        <v>1</v>
      </c>
      <c r="BC188" s="187">
        <f>AY188*BB188*BA188</f>
        <v>0</v>
      </c>
      <c r="BD188" s="1136">
        <f t="shared" ref="BD188:BD203" si="228">AT188*BC188+((1+COS($Z$2/57.3))/2)*AU188+((1-COS($Z$2/57.3))/2)*(AT188+AU188)*0.2</f>
        <v>0</v>
      </c>
      <c r="BG188" s="1132"/>
      <c r="BH188" s="1132"/>
      <c r="BI188" s="1132"/>
    </row>
    <row r="189" spans="1:61" x14ac:dyDescent="0.2">
      <c r="A189" s="1135">
        <v>0</v>
      </c>
      <c r="B189" s="1135">
        <v>7.7001839820149654E-4</v>
      </c>
      <c r="C189" s="1135"/>
      <c r="D189" s="1135">
        <v>1.4721810132750776E-4</v>
      </c>
      <c r="E189" s="187">
        <v>3.6023700043068046E-3</v>
      </c>
      <c r="F189" s="187"/>
      <c r="G189" s="187">
        <v>1.901062049392615E-4</v>
      </c>
      <c r="H189" s="187">
        <v>4.0113204665635799E-3</v>
      </c>
      <c r="I189" s="187"/>
      <c r="J189" s="187">
        <v>3.7974828440771333E-3</v>
      </c>
      <c r="K189" s="187">
        <v>5.4028994797419849E-3</v>
      </c>
      <c r="L189" s="187"/>
      <c r="M189" s="187">
        <v>8.8665960141047712E-4</v>
      </c>
      <c r="N189" s="187">
        <v>5.9410498532481426E-3</v>
      </c>
      <c r="O189" s="187"/>
      <c r="P189" s="187">
        <v>1.4397036022793632E-3</v>
      </c>
      <c r="Q189" s="187">
        <v>7.2320775359254732E-3</v>
      </c>
      <c r="R189" s="187"/>
      <c r="S189" s="187">
        <v>5.2766123660357763E-3</v>
      </c>
      <c r="T189" s="187">
        <v>1.2803544711704456E-2</v>
      </c>
      <c r="U189" s="187"/>
      <c r="V189" s="1138">
        <f t="shared" si="218"/>
        <v>1.901062049392615E-4</v>
      </c>
      <c r="W189" s="1138">
        <f t="shared" si="219"/>
        <v>4.0113204665635799E-3</v>
      </c>
      <c r="Y189" s="1132">
        <v>6</v>
      </c>
      <c r="Z189" s="44">
        <v>319</v>
      </c>
      <c r="AA189" s="1135">
        <f t="shared" ref="AA189:AA203" si="229">V189</f>
        <v>1.901062049392615E-4</v>
      </c>
      <c r="AB189" s="1135">
        <f t="shared" si="220"/>
        <v>4.0113204665635799E-3</v>
      </c>
      <c r="AC189" s="1132">
        <f t="shared" si="215"/>
        <v>5.5</v>
      </c>
      <c r="AD189" s="1133">
        <f t="shared" ref="AD189:AD203" si="230">15*(AC189-12)</f>
        <v>-97.5</v>
      </c>
      <c r="AE189" s="186">
        <f t="shared" si="221"/>
        <v>-19.137461472619361</v>
      </c>
      <c r="AF189" s="40">
        <f t="shared" si="222"/>
        <v>-3.5044916431525959</v>
      </c>
      <c r="AG189" s="13">
        <f t="shared" si="223"/>
        <v>4.3096772106138781</v>
      </c>
      <c r="AH189" s="1132">
        <f t="shared" ref="AH189:AH203" si="231">IF(AG189&lt;0,0,1)</f>
        <v>1</v>
      </c>
      <c r="AI189" s="1132">
        <f t="shared" ref="AI189:AI203" si="232">IF(AF189&lt;0,0,1)</f>
        <v>0</v>
      </c>
      <c r="AJ189" s="187">
        <f t="shared" ref="AJ189:AJ203" si="233">AF189*AI189*AH189</f>
        <v>0</v>
      </c>
      <c r="AK189" s="1136">
        <f t="shared" si="224"/>
        <v>3.6404322261712513E-3</v>
      </c>
      <c r="AR189" s="1132">
        <v>6</v>
      </c>
      <c r="AS189" s="44">
        <v>319</v>
      </c>
      <c r="AT189" s="1135">
        <f t="shared" si="216"/>
        <v>1.901062049392615E-4</v>
      </c>
      <c r="AU189" s="1135">
        <f t="shared" si="214"/>
        <v>4.0113204665635799E-3</v>
      </c>
      <c r="AV189" s="1132">
        <f t="shared" si="217"/>
        <v>5.5</v>
      </c>
      <c r="AW189" s="1133">
        <f t="shared" ref="AW189:AW203" si="234">15*(AV189-12)</f>
        <v>-97.5</v>
      </c>
      <c r="AX189" s="186">
        <f t="shared" si="225"/>
        <v>-19.137461472619361</v>
      </c>
      <c r="AY189" s="40">
        <f t="shared" si="226"/>
        <v>-3.5044916431525959</v>
      </c>
      <c r="AZ189" s="13">
        <f t="shared" si="227"/>
        <v>4.3096772106138781</v>
      </c>
      <c r="BA189" s="1132">
        <f t="shared" ref="BA189:BA203" si="235">IF(AZ189&lt;0,0,1)</f>
        <v>1</v>
      </c>
      <c r="BB189" s="1132">
        <f t="shared" ref="BB189:BB203" si="236">IF(AY189&lt;0,0,1)</f>
        <v>0</v>
      </c>
      <c r="BC189" s="187">
        <f t="shared" ref="BC189:BC203" si="237">AY189*BB189*BA189</f>
        <v>0</v>
      </c>
      <c r="BD189" s="1136">
        <f t="shared" si="228"/>
        <v>3.6404322261712513E-3</v>
      </c>
      <c r="BG189" s="1132"/>
      <c r="BH189" s="1132"/>
      <c r="BI189" s="1132"/>
    </row>
    <row r="190" spans="1:61" x14ac:dyDescent="0.2">
      <c r="A190" s="1135">
        <v>9.3164577175961875E-3</v>
      </c>
      <c r="B190" s="1135">
        <v>1.3402571622772981E-2</v>
      </c>
      <c r="C190" s="1135"/>
      <c r="D190" s="1135">
        <v>1.0008268501450486E-2</v>
      </c>
      <c r="E190" s="187">
        <v>1.7073508295989109E-2</v>
      </c>
      <c r="F190" s="187"/>
      <c r="G190" s="187">
        <v>1.1922602116462721E-2</v>
      </c>
      <c r="H190" s="187">
        <v>1.6558329992554834E-2</v>
      </c>
      <c r="I190" s="187"/>
      <c r="J190" s="187">
        <v>1.2371151721888024E-2</v>
      </c>
      <c r="K190" s="187">
        <v>1.404524928314285E-2</v>
      </c>
      <c r="L190" s="187"/>
      <c r="M190" s="187">
        <v>1.2573724346910649E-2</v>
      </c>
      <c r="N190" s="187">
        <v>1.8024364743372025E-2</v>
      </c>
      <c r="O190" s="187"/>
      <c r="P190" s="187">
        <v>1.2870916644852983E-2</v>
      </c>
      <c r="Q190" s="187">
        <v>1.9575270657565327E-2</v>
      </c>
      <c r="R190" s="187"/>
      <c r="S190" s="187">
        <v>1.6762747744448747E-2</v>
      </c>
      <c r="T190" s="187">
        <v>2.0770776007281937E-2</v>
      </c>
      <c r="U190" s="187"/>
      <c r="V190" s="1138">
        <f t="shared" si="218"/>
        <v>1.1922602116462721E-2</v>
      </c>
      <c r="W190" s="1138">
        <f t="shared" si="219"/>
        <v>1.6558329992554834E-2</v>
      </c>
      <c r="Y190" s="1132">
        <v>7</v>
      </c>
      <c r="Z190" s="44">
        <v>319</v>
      </c>
      <c r="AA190" s="1135">
        <f t="shared" si="229"/>
        <v>1.1922602116462721E-2</v>
      </c>
      <c r="AB190" s="1135">
        <f t="shared" si="220"/>
        <v>1.6558329992554834E-2</v>
      </c>
      <c r="AC190" s="1132">
        <f t="shared" si="215"/>
        <v>6.5</v>
      </c>
      <c r="AD190" s="1133">
        <f t="shared" si="230"/>
        <v>-82.5</v>
      </c>
      <c r="AE190" s="186">
        <f t="shared" si="221"/>
        <v>-19.137461472619361</v>
      </c>
      <c r="AF190" s="40">
        <f t="shared" si="222"/>
        <v>-7.1237500099278081E-2</v>
      </c>
      <c r="AG190" s="13">
        <f t="shared" si="223"/>
        <v>16.386536416571978</v>
      </c>
      <c r="AH190" s="1132">
        <f t="shared" si="231"/>
        <v>1</v>
      </c>
      <c r="AI190" s="1132">
        <f t="shared" si="232"/>
        <v>0</v>
      </c>
      <c r="AJ190" s="187">
        <f t="shared" si="233"/>
        <v>0</v>
      </c>
      <c r="AK190" s="1136">
        <f t="shared" si="224"/>
        <v>1.5287880077050503E-2</v>
      </c>
      <c r="AR190" s="1132">
        <v>7</v>
      </c>
      <c r="AS190" s="44">
        <v>319</v>
      </c>
      <c r="AT190" s="1135">
        <f t="shared" si="216"/>
        <v>1.1922602116462721E-2</v>
      </c>
      <c r="AU190" s="1135">
        <f t="shared" si="214"/>
        <v>1.6558329992554834E-2</v>
      </c>
      <c r="AV190" s="1132">
        <f t="shared" si="217"/>
        <v>6.5</v>
      </c>
      <c r="AW190" s="1133">
        <f t="shared" si="234"/>
        <v>-82.5</v>
      </c>
      <c r="AX190" s="186">
        <f t="shared" si="225"/>
        <v>-19.137461472619361</v>
      </c>
      <c r="AY190" s="40">
        <f t="shared" si="226"/>
        <v>-7.1237500099278081E-2</v>
      </c>
      <c r="AZ190" s="13">
        <f t="shared" si="227"/>
        <v>16.386536416571978</v>
      </c>
      <c r="BA190" s="1132">
        <f t="shared" si="235"/>
        <v>1</v>
      </c>
      <c r="BB190" s="1132">
        <f t="shared" si="236"/>
        <v>0</v>
      </c>
      <c r="BC190" s="187">
        <f t="shared" si="237"/>
        <v>0</v>
      </c>
      <c r="BD190" s="1136">
        <f t="shared" si="228"/>
        <v>1.5287880077050503E-2</v>
      </c>
      <c r="BG190" s="1132"/>
      <c r="BH190" s="1132"/>
      <c r="BI190" s="1132"/>
    </row>
    <row r="191" spans="1:61" x14ac:dyDescent="0.2">
      <c r="A191" s="1135">
        <v>3.067548750717819E-2</v>
      </c>
      <c r="B191" s="1135">
        <v>2.2312005674931905E-2</v>
      </c>
      <c r="C191" s="1135"/>
      <c r="D191" s="1135">
        <v>2.4329214623803375E-2</v>
      </c>
      <c r="E191" s="187">
        <v>2.7516771193430468E-2</v>
      </c>
      <c r="F191" s="187"/>
      <c r="G191" s="187">
        <v>2.7469948901997471E-2</v>
      </c>
      <c r="H191" s="187">
        <v>2.5454345875570321E-2</v>
      </c>
      <c r="I191" s="187"/>
      <c r="J191" s="187">
        <v>2.4510505319910031E-2</v>
      </c>
      <c r="K191" s="187">
        <v>2.5809719495653104E-2</v>
      </c>
      <c r="L191" s="187"/>
      <c r="M191" s="187">
        <v>2.9715531163537159E-2</v>
      </c>
      <c r="N191" s="187">
        <v>2.6948690320593861E-2</v>
      </c>
      <c r="O191" s="187"/>
      <c r="P191" s="187">
        <v>2.9497983072575833E-2</v>
      </c>
      <c r="Q191" s="187">
        <v>2.6317379135372417E-2</v>
      </c>
      <c r="R191" s="187"/>
      <c r="S191" s="187">
        <v>3.1841025050830557E-2</v>
      </c>
      <c r="T191" s="187">
        <v>2.786525631502039E-2</v>
      </c>
      <c r="U191" s="187"/>
      <c r="V191" s="1138">
        <f t="shared" si="218"/>
        <v>2.7469948901997471E-2</v>
      </c>
      <c r="W191" s="1138">
        <f t="shared" si="219"/>
        <v>2.5454345875570321E-2</v>
      </c>
      <c r="Y191" s="1132">
        <v>8</v>
      </c>
      <c r="Z191" s="44">
        <v>319</v>
      </c>
      <c r="AA191" s="1135">
        <f t="shared" si="229"/>
        <v>2.7469948901997471E-2</v>
      </c>
      <c r="AB191" s="1135">
        <f t="shared" si="220"/>
        <v>2.5454345875570321E-2</v>
      </c>
      <c r="AC191" s="1132">
        <f t="shared" si="215"/>
        <v>7.5</v>
      </c>
      <c r="AD191" s="1133">
        <f t="shared" si="230"/>
        <v>-67.5</v>
      </c>
      <c r="AE191" s="186">
        <f t="shared" si="221"/>
        <v>-19.137461472619361</v>
      </c>
      <c r="AF191" s="40">
        <f t="shared" si="222"/>
        <v>0.4611749596202292</v>
      </c>
      <c r="AG191" s="13">
        <f t="shared" si="223"/>
        <v>28.817774933277772</v>
      </c>
      <c r="AH191" s="1132">
        <f t="shared" si="231"/>
        <v>1</v>
      </c>
      <c r="AI191" s="1132">
        <f t="shared" si="232"/>
        <v>1</v>
      </c>
      <c r="AJ191" s="187">
        <f t="shared" si="233"/>
        <v>0.4611749596202292</v>
      </c>
      <c r="AK191" s="1136">
        <f t="shared" si="224"/>
        <v>3.6383644638885916E-2</v>
      </c>
      <c r="AR191" s="1132">
        <v>8</v>
      </c>
      <c r="AS191" s="44">
        <v>319</v>
      </c>
      <c r="AT191" s="1135">
        <f t="shared" si="216"/>
        <v>2.7469948901997471E-2</v>
      </c>
      <c r="AU191" s="1135">
        <f t="shared" si="214"/>
        <v>2.5454345875570321E-2</v>
      </c>
      <c r="AV191" s="1132">
        <f t="shared" si="217"/>
        <v>7.5</v>
      </c>
      <c r="AW191" s="1133">
        <f t="shared" si="234"/>
        <v>-67.5</v>
      </c>
      <c r="AX191" s="186">
        <f t="shared" si="225"/>
        <v>-19.137461472619361</v>
      </c>
      <c r="AY191" s="40">
        <f t="shared" si="226"/>
        <v>0.4611749596202292</v>
      </c>
      <c r="AZ191" s="13">
        <f t="shared" si="227"/>
        <v>28.817774933277772</v>
      </c>
      <c r="BA191" s="1132">
        <f t="shared" si="235"/>
        <v>1</v>
      </c>
      <c r="BB191" s="1132">
        <f t="shared" si="236"/>
        <v>1</v>
      </c>
      <c r="BC191" s="187">
        <f t="shared" si="237"/>
        <v>0.4611749596202292</v>
      </c>
      <c r="BD191" s="1136">
        <f t="shared" si="228"/>
        <v>3.6383644638885916E-2</v>
      </c>
      <c r="BG191" s="1132"/>
      <c r="BH191" s="1132"/>
      <c r="BI191" s="1132"/>
    </row>
    <row r="192" spans="1:61" x14ac:dyDescent="0.2">
      <c r="A192" s="1135">
        <v>4.8957310266402931E-2</v>
      </c>
      <c r="B192" s="1135">
        <v>2.9571967396569886E-2</v>
      </c>
      <c r="C192" s="1135"/>
      <c r="D192" s="1135">
        <v>4.4319155376986559E-2</v>
      </c>
      <c r="E192" s="187">
        <v>3.351692552212121E-2</v>
      </c>
      <c r="F192" s="187"/>
      <c r="G192" s="187">
        <v>4.729349216348816E-2</v>
      </c>
      <c r="H192" s="187">
        <v>2.9981896162240937E-2</v>
      </c>
      <c r="I192" s="187"/>
      <c r="J192" s="187">
        <v>4.0098213723593609E-2</v>
      </c>
      <c r="K192" s="187">
        <v>3.5230453122406587E-2</v>
      </c>
      <c r="L192" s="187"/>
      <c r="M192" s="187">
        <v>4.0890682506799308E-2</v>
      </c>
      <c r="N192" s="187">
        <v>3.6839721972023717E-2</v>
      </c>
      <c r="O192" s="187"/>
      <c r="P192" s="187">
        <v>4.4168529220278023E-2</v>
      </c>
      <c r="Q192" s="187">
        <v>3.4299512044513369E-2</v>
      </c>
      <c r="R192" s="187"/>
      <c r="S192" s="187">
        <v>4.6654251108158351E-2</v>
      </c>
      <c r="T192" s="187">
        <v>3.3514161060483993E-2</v>
      </c>
      <c r="U192" s="187"/>
      <c r="V192" s="1138">
        <f t="shared" si="218"/>
        <v>4.729349216348816E-2</v>
      </c>
      <c r="W192" s="1138">
        <f t="shared" si="219"/>
        <v>2.9981896162240937E-2</v>
      </c>
      <c r="Y192" s="1132">
        <v>9</v>
      </c>
      <c r="Z192" s="44">
        <v>319</v>
      </c>
      <c r="AA192" s="1135">
        <f t="shared" si="229"/>
        <v>4.729349216348816E-2</v>
      </c>
      <c r="AB192" s="1135">
        <f t="shared" si="220"/>
        <v>2.9981896162240937E-2</v>
      </c>
      <c r="AC192" s="1132">
        <f t="shared" si="215"/>
        <v>8.5</v>
      </c>
      <c r="AD192" s="1133">
        <f t="shared" si="230"/>
        <v>-52.5</v>
      </c>
      <c r="AE192" s="186">
        <f t="shared" si="221"/>
        <v>-19.137461472619361</v>
      </c>
      <c r="AF192" s="40">
        <f t="shared" si="222"/>
        <v>0.67604076153749282</v>
      </c>
      <c r="AG192" s="13">
        <f t="shared" si="223"/>
        <v>41.395471531186786</v>
      </c>
      <c r="AH192" s="1132">
        <f t="shared" si="231"/>
        <v>1</v>
      </c>
      <c r="AI192" s="1132">
        <f t="shared" si="232"/>
        <v>1</v>
      </c>
      <c r="AJ192" s="187">
        <f t="shared" si="233"/>
        <v>0.67604076153749282</v>
      </c>
      <c r="AK192" s="1136">
        <f t="shared" si="224"/>
        <v>6.0255149735778793E-2</v>
      </c>
      <c r="AR192" s="1132">
        <v>9</v>
      </c>
      <c r="AS192" s="44">
        <v>319</v>
      </c>
      <c r="AT192" s="1135">
        <f t="shared" si="216"/>
        <v>4.729349216348816E-2</v>
      </c>
      <c r="AU192" s="1135">
        <f t="shared" si="214"/>
        <v>2.9981896162240937E-2</v>
      </c>
      <c r="AV192" s="1132">
        <f t="shared" si="217"/>
        <v>8.5</v>
      </c>
      <c r="AW192" s="1133">
        <f t="shared" si="234"/>
        <v>-52.5</v>
      </c>
      <c r="AX192" s="186">
        <f t="shared" si="225"/>
        <v>-19.137461472619361</v>
      </c>
      <c r="AY192" s="40">
        <f t="shared" si="226"/>
        <v>0.67604076153749282</v>
      </c>
      <c r="AZ192" s="13">
        <f t="shared" si="227"/>
        <v>41.395471531186786</v>
      </c>
      <c r="BA192" s="1132">
        <f t="shared" si="235"/>
        <v>1</v>
      </c>
      <c r="BB192" s="1132">
        <f t="shared" si="236"/>
        <v>1</v>
      </c>
      <c r="BC192" s="187">
        <f t="shared" si="237"/>
        <v>0.67604076153749282</v>
      </c>
      <c r="BD192" s="1136">
        <f t="shared" si="228"/>
        <v>6.0255149735778793E-2</v>
      </c>
      <c r="BG192" s="1132"/>
      <c r="BH192" s="1132"/>
      <c r="BI192" s="1132"/>
    </row>
    <row r="193" spans="1:61" x14ac:dyDescent="0.2">
      <c r="A193" s="1135">
        <v>6.7631923931351257E-2</v>
      </c>
      <c r="B193" s="1135">
        <v>3.468936589472324E-2</v>
      </c>
      <c r="C193" s="1135"/>
      <c r="D193" s="1135">
        <v>6.0161775143048421E-2</v>
      </c>
      <c r="E193" s="187">
        <v>4.0594781421303364E-2</v>
      </c>
      <c r="F193" s="187"/>
      <c r="G193" s="187">
        <v>5.9351316266727752E-2</v>
      </c>
      <c r="H193" s="187">
        <v>3.8587582485411942E-2</v>
      </c>
      <c r="I193" s="187"/>
      <c r="J193" s="187">
        <v>5.5869071262183725E-2</v>
      </c>
      <c r="K193" s="187">
        <v>4.1789481516245897E-2</v>
      </c>
      <c r="L193" s="187"/>
      <c r="M193" s="187">
        <v>5.4225836900764102E-2</v>
      </c>
      <c r="N193" s="187">
        <v>4.121065152452618E-2</v>
      </c>
      <c r="O193" s="187"/>
      <c r="P193" s="187">
        <v>5.9242628650437307E-2</v>
      </c>
      <c r="Q193" s="187">
        <v>4.0198437468537962E-2</v>
      </c>
      <c r="R193" s="187"/>
      <c r="S193" s="187">
        <v>5.0277780684041477E-2</v>
      </c>
      <c r="T193" s="187">
        <v>4.0318305625015254E-2</v>
      </c>
      <c r="U193" s="187"/>
      <c r="V193" s="1138">
        <f t="shared" si="218"/>
        <v>5.9351316266727752E-2</v>
      </c>
      <c r="W193" s="1138">
        <f t="shared" si="219"/>
        <v>3.8587582485411942E-2</v>
      </c>
      <c r="Y193" s="1132">
        <v>10</v>
      </c>
      <c r="Z193" s="44">
        <v>319</v>
      </c>
      <c r="AA193" s="1135">
        <f t="shared" si="229"/>
        <v>5.9351316266727752E-2</v>
      </c>
      <c r="AB193" s="1135">
        <f t="shared" si="220"/>
        <v>3.8587582485411942E-2</v>
      </c>
      <c r="AC193" s="1132">
        <f t="shared" si="215"/>
        <v>9.5</v>
      </c>
      <c r="AD193" s="1133">
        <f t="shared" si="230"/>
        <v>-37.5</v>
      </c>
      <c r="AE193" s="186">
        <f t="shared" si="221"/>
        <v>-19.137461472619361</v>
      </c>
      <c r="AF193" s="40">
        <f t="shared" si="222"/>
        <v>0.79096439624536208</v>
      </c>
      <c r="AG193" s="13">
        <f t="shared" si="223"/>
        <v>53.860523509538865</v>
      </c>
      <c r="AH193" s="1132">
        <f t="shared" si="231"/>
        <v>1</v>
      </c>
      <c r="AI193" s="1132">
        <f t="shared" si="232"/>
        <v>1</v>
      </c>
      <c r="AJ193" s="187">
        <f t="shared" si="233"/>
        <v>0.79096439624536208</v>
      </c>
      <c r="AK193" s="1136">
        <f t="shared" si="224"/>
        <v>8.3310119799943752E-2</v>
      </c>
      <c r="AR193" s="1132">
        <v>10</v>
      </c>
      <c r="AS193" s="44">
        <v>319</v>
      </c>
      <c r="AT193" s="1135">
        <f t="shared" si="216"/>
        <v>5.9351316266727752E-2</v>
      </c>
      <c r="AU193" s="1135">
        <f t="shared" si="214"/>
        <v>3.8587582485411942E-2</v>
      </c>
      <c r="AV193" s="1132">
        <f t="shared" si="217"/>
        <v>9.5</v>
      </c>
      <c r="AW193" s="1133">
        <f t="shared" si="234"/>
        <v>-37.5</v>
      </c>
      <c r="AX193" s="186">
        <f t="shared" si="225"/>
        <v>-19.137461472619361</v>
      </c>
      <c r="AY193" s="40">
        <f t="shared" si="226"/>
        <v>0.79096439624536208</v>
      </c>
      <c r="AZ193" s="13">
        <f t="shared" si="227"/>
        <v>53.860523509538865</v>
      </c>
      <c r="BA193" s="1132">
        <f t="shared" si="235"/>
        <v>1</v>
      </c>
      <c r="BB193" s="1132">
        <f t="shared" si="236"/>
        <v>1</v>
      </c>
      <c r="BC193" s="187">
        <f t="shared" si="237"/>
        <v>0.79096439624536208</v>
      </c>
      <c r="BD193" s="1136">
        <f t="shared" si="228"/>
        <v>8.3310119799943752E-2</v>
      </c>
      <c r="BG193" s="1132"/>
      <c r="BH193" s="1132"/>
      <c r="BI193" s="1132"/>
    </row>
    <row r="194" spans="1:61" x14ac:dyDescent="0.2">
      <c r="A194" s="1135">
        <v>8.2228182211022544E-2</v>
      </c>
      <c r="B194" s="1135">
        <v>3.6267940666782128E-2</v>
      </c>
      <c r="C194" s="1135"/>
      <c r="D194" s="1135">
        <v>7.3384563393221303E-2</v>
      </c>
      <c r="E194" s="187">
        <v>4.2374412392046951E-2</v>
      </c>
      <c r="F194" s="187"/>
      <c r="G194" s="187">
        <v>7.2848061393963687E-2</v>
      </c>
      <c r="H194" s="187">
        <v>4.2390502007648809E-2</v>
      </c>
      <c r="I194" s="187"/>
      <c r="J194" s="187">
        <v>6.6457380623966222E-2</v>
      </c>
      <c r="K194" s="187">
        <v>4.9710681600952399E-2</v>
      </c>
      <c r="L194" s="187"/>
      <c r="M194" s="187">
        <v>6.6523850340717644E-2</v>
      </c>
      <c r="N194" s="187">
        <v>4.5801400640931203E-2</v>
      </c>
      <c r="O194" s="187"/>
      <c r="P194" s="187">
        <v>6.5827007362959683E-2</v>
      </c>
      <c r="Q194" s="187">
        <v>4.409973219499428E-2</v>
      </c>
      <c r="R194" s="187"/>
      <c r="S194" s="187">
        <v>6.59088293453583E-2</v>
      </c>
      <c r="T194" s="187">
        <v>3.7888378548983921E-2</v>
      </c>
      <c r="U194" s="187"/>
      <c r="V194" s="1138">
        <f t="shared" si="218"/>
        <v>7.2848061393963687E-2</v>
      </c>
      <c r="W194" s="1138">
        <f t="shared" si="219"/>
        <v>4.2390502007648809E-2</v>
      </c>
      <c r="Y194" s="1132">
        <v>11</v>
      </c>
      <c r="Z194" s="44">
        <v>319</v>
      </c>
      <c r="AA194" s="1135">
        <f t="shared" si="229"/>
        <v>7.2848061393963687E-2</v>
      </c>
      <c r="AB194" s="1135">
        <f t="shared" si="220"/>
        <v>4.2390502007648809E-2</v>
      </c>
      <c r="AC194" s="1132">
        <f t="shared" si="215"/>
        <v>10.5</v>
      </c>
      <c r="AD194" s="1133">
        <f t="shared" si="230"/>
        <v>-22.5</v>
      </c>
      <c r="AE194" s="186">
        <f t="shared" si="221"/>
        <v>-19.137461472619361</v>
      </c>
      <c r="AF194" s="40">
        <f t="shared" si="222"/>
        <v>0.86102501782560359</v>
      </c>
      <c r="AG194" s="13">
        <f t="shared" si="223"/>
        <v>65.650565708707816</v>
      </c>
      <c r="AH194" s="1132">
        <f t="shared" si="231"/>
        <v>1</v>
      </c>
      <c r="AI194" s="1132">
        <f t="shared" si="232"/>
        <v>1</v>
      </c>
      <c r="AJ194" s="187">
        <f t="shared" si="233"/>
        <v>0.86102501782560359</v>
      </c>
      <c r="AK194" s="1136">
        <f t="shared" si="224"/>
        <v>0.10285214850381108</v>
      </c>
      <c r="AR194" s="1132">
        <v>11</v>
      </c>
      <c r="AS194" s="44">
        <v>319</v>
      </c>
      <c r="AT194" s="1135">
        <f t="shared" si="216"/>
        <v>7.2848061393963687E-2</v>
      </c>
      <c r="AU194" s="1135">
        <f t="shared" si="214"/>
        <v>4.2390502007648809E-2</v>
      </c>
      <c r="AV194" s="1132">
        <f t="shared" si="217"/>
        <v>10.5</v>
      </c>
      <c r="AW194" s="1133">
        <f t="shared" si="234"/>
        <v>-22.5</v>
      </c>
      <c r="AX194" s="186">
        <f t="shared" si="225"/>
        <v>-19.137461472619361</v>
      </c>
      <c r="AY194" s="40">
        <f t="shared" si="226"/>
        <v>0.86102501782560359</v>
      </c>
      <c r="AZ194" s="13">
        <f t="shared" si="227"/>
        <v>65.650565708707816</v>
      </c>
      <c r="BA194" s="1132">
        <f t="shared" si="235"/>
        <v>1</v>
      </c>
      <c r="BB194" s="1132">
        <f t="shared" si="236"/>
        <v>1</v>
      </c>
      <c r="BC194" s="187">
        <f t="shared" si="237"/>
        <v>0.86102501782560359</v>
      </c>
      <c r="BD194" s="1136">
        <f t="shared" si="228"/>
        <v>0.10285214850381108</v>
      </c>
      <c r="BG194" s="1132"/>
      <c r="BH194" s="1132"/>
      <c r="BI194" s="1132"/>
    </row>
    <row r="195" spans="1:61" x14ac:dyDescent="0.2">
      <c r="A195" s="1135">
        <v>8.4309232896441016E-2</v>
      </c>
      <c r="B195" s="1135">
        <v>3.9830480070203303E-2</v>
      </c>
      <c r="C195" s="1135"/>
      <c r="D195" s="1135">
        <v>7.6413514826059098E-2</v>
      </c>
      <c r="E195" s="187">
        <v>4.647537187764525E-2</v>
      </c>
      <c r="F195" s="187"/>
      <c r="G195" s="187">
        <v>7.910486226447512E-2</v>
      </c>
      <c r="H195" s="187">
        <v>4.4531781939433274E-2</v>
      </c>
      <c r="I195" s="187"/>
      <c r="J195" s="187">
        <v>7.1697162905432071E-2</v>
      </c>
      <c r="K195" s="187">
        <v>5.2357758941398012E-2</v>
      </c>
      <c r="L195" s="187"/>
      <c r="M195" s="187">
        <v>7.0281152307499872E-2</v>
      </c>
      <c r="N195" s="187">
        <v>5.011461694885691E-2</v>
      </c>
      <c r="O195" s="187"/>
      <c r="P195" s="187">
        <v>6.588825349522448E-2</v>
      </c>
      <c r="Q195" s="187">
        <v>4.9277966829765957E-2</v>
      </c>
      <c r="R195" s="187"/>
      <c r="S195" s="187">
        <v>6.6322971922005147E-2</v>
      </c>
      <c r="T195" s="187">
        <v>4.1468314169430531E-2</v>
      </c>
      <c r="U195" s="187"/>
      <c r="V195" s="1138">
        <f t="shared" si="218"/>
        <v>7.910486226447512E-2</v>
      </c>
      <c r="W195" s="1138">
        <f t="shared" si="219"/>
        <v>4.4531781939433274E-2</v>
      </c>
      <c r="Y195" s="1132">
        <v>12</v>
      </c>
      <c r="Z195" s="44">
        <v>319</v>
      </c>
      <c r="AA195" s="1135">
        <f t="shared" si="229"/>
        <v>7.910486226447512E-2</v>
      </c>
      <c r="AB195" s="1135">
        <f t="shared" si="220"/>
        <v>4.4531781939433274E-2</v>
      </c>
      <c r="AC195" s="1132">
        <f t="shared" si="215"/>
        <v>11.5</v>
      </c>
      <c r="AD195" s="1133">
        <f t="shared" si="230"/>
        <v>-7.5</v>
      </c>
      <c r="AE195" s="186">
        <f t="shared" si="221"/>
        <v>-19.137461472619361</v>
      </c>
      <c r="AF195" s="40">
        <f t="shared" si="222"/>
        <v>0.906184093688298</v>
      </c>
      <c r="AG195" s="13">
        <f t="shared" si="223"/>
        <v>74.708868650724824</v>
      </c>
      <c r="AH195" s="1132">
        <f t="shared" si="231"/>
        <v>1</v>
      </c>
      <c r="AI195" s="1132">
        <f t="shared" si="232"/>
        <v>1</v>
      </c>
      <c r="AJ195" s="187">
        <f t="shared" si="233"/>
        <v>0.906184093688298</v>
      </c>
      <c r="AK195" s="1136">
        <f t="shared" si="224"/>
        <v>0.11389899621989828</v>
      </c>
      <c r="AR195" s="1132">
        <v>12</v>
      </c>
      <c r="AS195" s="44">
        <v>319</v>
      </c>
      <c r="AT195" s="1135">
        <f t="shared" si="216"/>
        <v>7.910486226447512E-2</v>
      </c>
      <c r="AU195" s="1135">
        <f t="shared" si="214"/>
        <v>4.4531781939433274E-2</v>
      </c>
      <c r="AV195" s="1132">
        <f t="shared" si="217"/>
        <v>11.5</v>
      </c>
      <c r="AW195" s="1133">
        <f t="shared" si="234"/>
        <v>-7.5</v>
      </c>
      <c r="AX195" s="186">
        <f t="shared" si="225"/>
        <v>-19.137461472619361</v>
      </c>
      <c r="AY195" s="40">
        <f t="shared" si="226"/>
        <v>0.906184093688298</v>
      </c>
      <c r="AZ195" s="13">
        <f t="shared" si="227"/>
        <v>74.708868650724824</v>
      </c>
      <c r="BA195" s="1132">
        <f t="shared" si="235"/>
        <v>1</v>
      </c>
      <c r="BB195" s="1132">
        <f t="shared" si="236"/>
        <v>1</v>
      </c>
      <c r="BC195" s="187">
        <f t="shared" si="237"/>
        <v>0.906184093688298</v>
      </c>
      <c r="BD195" s="1136">
        <f t="shared" si="228"/>
        <v>0.11389899621989828</v>
      </c>
      <c r="BG195" s="1132"/>
      <c r="BH195" s="1132"/>
      <c r="BI195" s="1132"/>
    </row>
    <row r="196" spans="1:61" x14ac:dyDescent="0.2">
      <c r="A196" s="1135">
        <v>8.4309232896441016E-2</v>
      </c>
      <c r="B196" s="1135">
        <v>3.9830480070203303E-2</v>
      </c>
      <c r="C196" s="1135"/>
      <c r="D196" s="1135">
        <v>7.6413514826059098E-2</v>
      </c>
      <c r="E196" s="187">
        <v>4.647537187764525E-2</v>
      </c>
      <c r="F196" s="187"/>
      <c r="G196" s="187">
        <v>7.910486226447512E-2</v>
      </c>
      <c r="H196" s="187">
        <v>4.4531781939433274E-2</v>
      </c>
      <c r="I196" s="187"/>
      <c r="J196" s="187">
        <v>7.1697162905432071E-2</v>
      </c>
      <c r="K196" s="187">
        <v>5.2357758941398012E-2</v>
      </c>
      <c r="L196" s="187"/>
      <c r="M196" s="187">
        <v>7.0281152307499872E-2</v>
      </c>
      <c r="N196" s="187">
        <v>5.011461694885691E-2</v>
      </c>
      <c r="O196" s="187"/>
      <c r="P196" s="187">
        <v>6.588825349522448E-2</v>
      </c>
      <c r="Q196" s="187">
        <v>4.9277966829765957E-2</v>
      </c>
      <c r="R196" s="187"/>
      <c r="S196" s="187">
        <v>6.6322971922005147E-2</v>
      </c>
      <c r="T196" s="187">
        <v>4.1468314169430531E-2</v>
      </c>
      <c r="U196" s="187"/>
      <c r="V196" s="1138">
        <f t="shared" si="218"/>
        <v>7.910486226447512E-2</v>
      </c>
      <c r="W196" s="1138">
        <f t="shared" si="219"/>
        <v>4.4531781939433274E-2</v>
      </c>
      <c r="Y196" s="1132">
        <v>13</v>
      </c>
      <c r="Z196" s="44">
        <v>319</v>
      </c>
      <c r="AA196" s="1135">
        <f t="shared" si="229"/>
        <v>7.910486226447512E-2</v>
      </c>
      <c r="AB196" s="1135">
        <f t="shared" si="220"/>
        <v>4.4531781939433274E-2</v>
      </c>
      <c r="AC196" s="1132">
        <f t="shared" si="215"/>
        <v>12.5</v>
      </c>
      <c r="AD196" s="1133">
        <f t="shared" si="230"/>
        <v>7.5</v>
      </c>
      <c r="AE196" s="186">
        <f t="shared" si="221"/>
        <v>-19.137461472619361</v>
      </c>
      <c r="AF196" s="40">
        <f t="shared" si="222"/>
        <v>0.9347689781829811</v>
      </c>
      <c r="AG196" s="13">
        <f t="shared" si="223"/>
        <v>74.708868650724824</v>
      </c>
      <c r="AH196" s="1132">
        <f t="shared" si="231"/>
        <v>1</v>
      </c>
      <c r="AI196" s="1132">
        <f t="shared" si="232"/>
        <v>1</v>
      </c>
      <c r="AJ196" s="187">
        <f t="shared" si="233"/>
        <v>0.9347689781829811</v>
      </c>
      <c r="AK196" s="1136">
        <f t="shared" si="224"/>
        <v>0.11616019957069612</v>
      </c>
      <c r="AR196" s="1132">
        <v>13</v>
      </c>
      <c r="AS196" s="44">
        <v>319</v>
      </c>
      <c r="AT196" s="1135">
        <f t="shared" si="216"/>
        <v>7.910486226447512E-2</v>
      </c>
      <c r="AU196" s="1135">
        <f t="shared" si="214"/>
        <v>4.4531781939433274E-2</v>
      </c>
      <c r="AV196" s="1132">
        <f t="shared" si="217"/>
        <v>12.5</v>
      </c>
      <c r="AW196" s="1133">
        <f t="shared" si="234"/>
        <v>7.5</v>
      </c>
      <c r="AX196" s="186">
        <f t="shared" si="225"/>
        <v>-19.137461472619361</v>
      </c>
      <c r="AY196" s="40">
        <f t="shared" si="226"/>
        <v>0.9347689781829811</v>
      </c>
      <c r="AZ196" s="13">
        <f t="shared" si="227"/>
        <v>74.708868650724824</v>
      </c>
      <c r="BA196" s="1132">
        <f t="shared" si="235"/>
        <v>1</v>
      </c>
      <c r="BB196" s="1132">
        <f t="shared" si="236"/>
        <v>1</v>
      </c>
      <c r="BC196" s="187">
        <f t="shared" si="237"/>
        <v>0.9347689781829811</v>
      </c>
      <c r="BD196" s="1136">
        <f t="shared" si="228"/>
        <v>0.11616019957069612</v>
      </c>
      <c r="BG196" s="1132"/>
      <c r="BH196" s="1132"/>
      <c r="BI196" s="1132"/>
    </row>
    <row r="197" spans="1:61" x14ac:dyDescent="0.2">
      <c r="A197" s="1135">
        <v>8.2228182211022544E-2</v>
      </c>
      <c r="B197" s="1135">
        <v>3.6267940666782128E-2</v>
      </c>
      <c r="C197" s="1135"/>
      <c r="D197" s="1135">
        <v>7.3384563393221303E-2</v>
      </c>
      <c r="E197" s="187">
        <v>4.2374412392046951E-2</v>
      </c>
      <c r="F197" s="187"/>
      <c r="G197" s="187">
        <v>7.2848061393963687E-2</v>
      </c>
      <c r="H197" s="187">
        <v>4.2390502007648809E-2</v>
      </c>
      <c r="I197" s="187"/>
      <c r="J197" s="187">
        <v>6.6457380623966222E-2</v>
      </c>
      <c r="K197" s="187">
        <v>4.9710681600952399E-2</v>
      </c>
      <c r="L197" s="187"/>
      <c r="M197" s="187">
        <v>6.6523850340717644E-2</v>
      </c>
      <c r="N197" s="187">
        <v>4.5801400640931203E-2</v>
      </c>
      <c r="O197" s="187"/>
      <c r="P197" s="187">
        <v>6.5827007362959683E-2</v>
      </c>
      <c r="Q197" s="187">
        <v>4.409973219499428E-2</v>
      </c>
      <c r="R197" s="187"/>
      <c r="S197" s="187">
        <v>6.59088293453583E-2</v>
      </c>
      <c r="T197" s="187">
        <v>3.7888378548983921E-2</v>
      </c>
      <c r="U197" s="187"/>
      <c r="V197" s="1138">
        <f t="shared" si="218"/>
        <v>7.2848061393963687E-2</v>
      </c>
      <c r="W197" s="1138">
        <f t="shared" si="219"/>
        <v>4.2390502007648809E-2</v>
      </c>
      <c r="Y197" s="1132">
        <v>14</v>
      </c>
      <c r="Z197" s="44">
        <v>319</v>
      </c>
      <c r="AA197" s="1135">
        <f t="shared" si="229"/>
        <v>7.2848061393963687E-2</v>
      </c>
      <c r="AB197" s="1135">
        <f t="shared" si="220"/>
        <v>4.2390502007648809E-2</v>
      </c>
      <c r="AC197" s="1132">
        <f t="shared" si="215"/>
        <v>13.5</v>
      </c>
      <c r="AD197" s="1133">
        <f t="shared" si="230"/>
        <v>22.5</v>
      </c>
      <c r="AE197" s="186">
        <f t="shared" si="221"/>
        <v>-19.137461472619361</v>
      </c>
      <c r="AF197" s="40">
        <f t="shared" si="222"/>
        <v>0.94975849815213209</v>
      </c>
      <c r="AG197" s="13">
        <f t="shared" si="223"/>
        <v>65.650565708707816</v>
      </c>
      <c r="AH197" s="1132">
        <f t="shared" si="231"/>
        <v>1</v>
      </c>
      <c r="AI197" s="1132">
        <f t="shared" si="232"/>
        <v>1</v>
      </c>
      <c r="AJ197" s="187">
        <f t="shared" si="233"/>
        <v>0.94975849815213209</v>
      </c>
      <c r="AK197" s="1136">
        <f t="shared" si="224"/>
        <v>0.10931621052633808</v>
      </c>
      <c r="AR197" s="1132">
        <v>14</v>
      </c>
      <c r="AS197" s="44">
        <v>319</v>
      </c>
      <c r="AT197" s="1135">
        <f t="shared" si="216"/>
        <v>7.2848061393963687E-2</v>
      </c>
      <c r="AU197" s="1135">
        <f t="shared" si="214"/>
        <v>4.2390502007648809E-2</v>
      </c>
      <c r="AV197" s="1132">
        <f t="shared" si="217"/>
        <v>13.5</v>
      </c>
      <c r="AW197" s="1133">
        <f t="shared" si="234"/>
        <v>22.5</v>
      </c>
      <c r="AX197" s="186">
        <f t="shared" si="225"/>
        <v>-19.137461472619361</v>
      </c>
      <c r="AY197" s="40">
        <f t="shared" si="226"/>
        <v>0.94975849815213209</v>
      </c>
      <c r="AZ197" s="13">
        <f t="shared" si="227"/>
        <v>65.650565708707816</v>
      </c>
      <c r="BA197" s="1132">
        <f t="shared" si="235"/>
        <v>1</v>
      </c>
      <c r="BB197" s="1132">
        <f t="shared" si="236"/>
        <v>1</v>
      </c>
      <c r="BC197" s="187">
        <f t="shared" si="237"/>
        <v>0.94975849815213209</v>
      </c>
      <c r="BD197" s="1136">
        <f t="shared" si="228"/>
        <v>0.10931621052633808</v>
      </c>
      <c r="BG197" s="1132"/>
      <c r="BH197" s="1132"/>
      <c r="BI197" s="1132"/>
    </row>
    <row r="198" spans="1:61" x14ac:dyDescent="0.2">
      <c r="A198" s="1135">
        <v>6.7631923931351257E-2</v>
      </c>
      <c r="B198" s="1135">
        <v>3.468936589472324E-2</v>
      </c>
      <c r="C198" s="1135"/>
      <c r="D198" s="1135">
        <v>6.0161775143048421E-2</v>
      </c>
      <c r="E198" s="187">
        <v>4.0594781421303364E-2</v>
      </c>
      <c r="F198" s="187"/>
      <c r="G198" s="187">
        <v>5.9351316266727752E-2</v>
      </c>
      <c r="H198" s="187">
        <v>3.8587582485411942E-2</v>
      </c>
      <c r="I198" s="187"/>
      <c r="J198" s="187">
        <v>5.5869071262183725E-2</v>
      </c>
      <c r="K198" s="187">
        <v>4.1789481516245897E-2</v>
      </c>
      <c r="L198" s="187"/>
      <c r="M198" s="187">
        <v>5.4225836900764102E-2</v>
      </c>
      <c r="N198" s="187">
        <v>4.121065152452618E-2</v>
      </c>
      <c r="O198" s="187"/>
      <c r="P198" s="187">
        <v>5.9242628650437307E-2</v>
      </c>
      <c r="Q198" s="187">
        <v>4.0198437468537962E-2</v>
      </c>
      <c r="R198" s="187"/>
      <c r="S198" s="187">
        <v>5.0277780684041477E-2</v>
      </c>
      <c r="T198" s="187">
        <v>4.0318305625015254E-2</v>
      </c>
      <c r="U198" s="187"/>
      <c r="V198" s="1138">
        <f t="shared" si="218"/>
        <v>5.9351316266727752E-2</v>
      </c>
      <c r="W198" s="1138">
        <f t="shared" si="219"/>
        <v>3.8587582485411942E-2</v>
      </c>
      <c r="Y198" s="1132">
        <v>15</v>
      </c>
      <c r="Z198" s="44">
        <v>319</v>
      </c>
      <c r="AA198" s="1135">
        <f t="shared" si="229"/>
        <v>5.9351316266727752E-2</v>
      </c>
      <c r="AB198" s="1135">
        <f t="shared" si="220"/>
        <v>3.8587582485411942E-2</v>
      </c>
      <c r="AC198" s="1132">
        <f t="shared" si="215"/>
        <v>14.5</v>
      </c>
      <c r="AD198" s="1133">
        <f t="shared" si="230"/>
        <v>37.5</v>
      </c>
      <c r="AE198" s="186">
        <f t="shared" si="221"/>
        <v>-19.137461472619361</v>
      </c>
      <c r="AF198" s="40">
        <f t="shared" si="222"/>
        <v>0.95020377387297716</v>
      </c>
      <c r="AG198" s="13">
        <f t="shared" si="223"/>
        <v>53.860523509538865</v>
      </c>
      <c r="AH198" s="1132">
        <f t="shared" si="231"/>
        <v>1</v>
      </c>
      <c r="AI198" s="1132">
        <f t="shared" si="232"/>
        <v>1</v>
      </c>
      <c r="AJ198" s="187">
        <f t="shared" si="233"/>
        <v>0.95020377387297716</v>
      </c>
      <c r="AK198" s="1136">
        <f t="shared" si="224"/>
        <v>9.2761186463637221E-2</v>
      </c>
      <c r="AR198" s="1132">
        <v>15</v>
      </c>
      <c r="AS198" s="44">
        <v>319</v>
      </c>
      <c r="AT198" s="1135">
        <f t="shared" si="216"/>
        <v>5.9351316266727752E-2</v>
      </c>
      <c r="AU198" s="1135">
        <f t="shared" si="214"/>
        <v>3.8587582485411942E-2</v>
      </c>
      <c r="AV198" s="1132">
        <f t="shared" si="217"/>
        <v>14.5</v>
      </c>
      <c r="AW198" s="1133">
        <f t="shared" si="234"/>
        <v>37.5</v>
      </c>
      <c r="AX198" s="186">
        <f t="shared" si="225"/>
        <v>-19.137461472619361</v>
      </c>
      <c r="AY198" s="40">
        <f t="shared" si="226"/>
        <v>0.95020377387297716</v>
      </c>
      <c r="AZ198" s="13">
        <f t="shared" si="227"/>
        <v>53.860523509538865</v>
      </c>
      <c r="BA198" s="1132">
        <f t="shared" si="235"/>
        <v>1</v>
      </c>
      <c r="BB198" s="1132">
        <f t="shared" si="236"/>
        <v>1</v>
      </c>
      <c r="BC198" s="187">
        <f t="shared" si="237"/>
        <v>0.95020377387297716</v>
      </c>
      <c r="BD198" s="1136">
        <f t="shared" si="228"/>
        <v>9.2761186463637221E-2</v>
      </c>
      <c r="BG198" s="1132"/>
      <c r="BH198" s="1132"/>
      <c r="BI198" s="1132"/>
    </row>
    <row r="199" spans="1:61" x14ac:dyDescent="0.2">
      <c r="A199" s="1135">
        <v>4.8957310266402931E-2</v>
      </c>
      <c r="B199" s="1135">
        <v>2.9571967396569886E-2</v>
      </c>
      <c r="C199" s="1135"/>
      <c r="D199" s="1135">
        <v>4.4319155376986559E-2</v>
      </c>
      <c r="E199" s="187">
        <v>3.351692552212121E-2</v>
      </c>
      <c r="F199" s="187"/>
      <c r="G199" s="187">
        <v>4.729349216348816E-2</v>
      </c>
      <c r="H199" s="187">
        <v>2.9981896162240937E-2</v>
      </c>
      <c r="I199" s="187"/>
      <c r="J199" s="187">
        <v>4.0098213723593609E-2</v>
      </c>
      <c r="K199" s="187">
        <v>3.5230453122406587E-2</v>
      </c>
      <c r="L199" s="187"/>
      <c r="M199" s="187">
        <v>4.0890682506799308E-2</v>
      </c>
      <c r="N199" s="187">
        <v>3.6839721972023717E-2</v>
      </c>
      <c r="O199" s="187"/>
      <c r="P199" s="187">
        <v>4.4168529220278023E-2</v>
      </c>
      <c r="Q199" s="187">
        <v>3.4299512044513369E-2</v>
      </c>
      <c r="R199" s="187"/>
      <c r="S199" s="187">
        <v>4.6654251108158351E-2</v>
      </c>
      <c r="T199" s="187">
        <v>3.3514161060483993E-2</v>
      </c>
      <c r="U199" s="187"/>
      <c r="V199" s="1138">
        <f t="shared" si="218"/>
        <v>4.729349216348816E-2</v>
      </c>
      <c r="W199" s="1138">
        <f t="shared" si="219"/>
        <v>2.9981896162240937E-2</v>
      </c>
      <c r="Y199" s="1132">
        <v>16</v>
      </c>
      <c r="Z199" s="44">
        <v>319</v>
      </c>
      <c r="AA199" s="1135">
        <f t="shared" si="229"/>
        <v>4.729349216348816E-2</v>
      </c>
      <c r="AB199" s="1135">
        <f t="shared" si="220"/>
        <v>2.9981896162240937E-2</v>
      </c>
      <c r="AC199" s="1132">
        <f t="shared" si="215"/>
        <v>15.5</v>
      </c>
      <c r="AD199" s="1133">
        <f t="shared" si="230"/>
        <v>52.5</v>
      </c>
      <c r="AE199" s="186">
        <f t="shared" si="221"/>
        <v>-19.137461472619361</v>
      </c>
      <c r="AF199" s="40">
        <f t="shared" si="222"/>
        <v>0.92948734896373642</v>
      </c>
      <c r="AG199" s="13">
        <f t="shared" si="223"/>
        <v>41.395471531186786</v>
      </c>
      <c r="AH199" s="1132">
        <f t="shared" si="231"/>
        <v>1</v>
      </c>
      <c r="AI199" s="1132">
        <f t="shared" si="232"/>
        <v>1</v>
      </c>
      <c r="AJ199" s="187">
        <f t="shared" si="233"/>
        <v>0.92948734896373642</v>
      </c>
      <c r="AK199" s="1136">
        <f t="shared" si="224"/>
        <v>7.2241523932084661E-2</v>
      </c>
      <c r="AR199" s="1132">
        <v>16</v>
      </c>
      <c r="AS199" s="44">
        <v>319</v>
      </c>
      <c r="AT199" s="1135">
        <f t="shared" si="216"/>
        <v>4.729349216348816E-2</v>
      </c>
      <c r="AU199" s="1135">
        <f t="shared" si="214"/>
        <v>2.9981896162240937E-2</v>
      </c>
      <c r="AV199" s="1132">
        <f t="shared" si="217"/>
        <v>15.5</v>
      </c>
      <c r="AW199" s="1133">
        <f t="shared" si="234"/>
        <v>52.5</v>
      </c>
      <c r="AX199" s="186">
        <f t="shared" si="225"/>
        <v>-19.137461472619361</v>
      </c>
      <c r="AY199" s="40">
        <f t="shared" si="226"/>
        <v>0.92948734896373642</v>
      </c>
      <c r="AZ199" s="13">
        <f t="shared" si="227"/>
        <v>41.395471531186786</v>
      </c>
      <c r="BA199" s="1132">
        <f t="shared" si="235"/>
        <v>1</v>
      </c>
      <c r="BB199" s="1132">
        <f t="shared" si="236"/>
        <v>1</v>
      </c>
      <c r="BC199" s="187">
        <f t="shared" si="237"/>
        <v>0.92948734896373642</v>
      </c>
      <c r="BD199" s="1136">
        <f t="shared" si="228"/>
        <v>7.2241523932084661E-2</v>
      </c>
      <c r="BG199" s="1132"/>
      <c r="BH199" s="1132"/>
      <c r="BI199" s="1132"/>
    </row>
    <row r="200" spans="1:61" x14ac:dyDescent="0.2">
      <c r="A200" s="1135">
        <v>3.067548750717819E-2</v>
      </c>
      <c r="B200" s="1135">
        <v>2.2312005674931905E-2</v>
      </c>
      <c r="C200" s="1135"/>
      <c r="D200" s="1135">
        <v>2.4329214623803375E-2</v>
      </c>
      <c r="E200" s="187">
        <v>2.7516771193430468E-2</v>
      </c>
      <c r="F200" s="187"/>
      <c r="G200" s="187">
        <v>2.7469948901997471E-2</v>
      </c>
      <c r="H200" s="187">
        <v>2.5454345875570321E-2</v>
      </c>
      <c r="I200" s="187"/>
      <c r="J200" s="187">
        <v>2.4510505319910031E-2</v>
      </c>
      <c r="K200" s="187">
        <v>2.5809719495653104E-2</v>
      </c>
      <c r="L200" s="187"/>
      <c r="M200" s="187">
        <v>2.9715531163537159E-2</v>
      </c>
      <c r="N200" s="187">
        <v>2.6948690320593861E-2</v>
      </c>
      <c r="O200" s="187"/>
      <c r="P200" s="187">
        <v>2.9497983072575833E-2</v>
      </c>
      <c r="Q200" s="187">
        <v>2.6317379135372417E-2</v>
      </c>
      <c r="R200" s="187"/>
      <c r="S200" s="187">
        <v>3.1841025050830557E-2</v>
      </c>
      <c r="T200" s="187">
        <v>2.786525631502039E-2</v>
      </c>
      <c r="U200" s="187"/>
      <c r="V200" s="1138">
        <f t="shared" si="218"/>
        <v>2.7469948901997471E-2</v>
      </c>
      <c r="W200" s="1138">
        <f t="shared" si="219"/>
        <v>2.5454345875570321E-2</v>
      </c>
      <c r="Y200" s="1132">
        <v>17</v>
      </c>
      <c r="Z200" s="44">
        <v>319</v>
      </c>
      <c r="AA200" s="1135">
        <f t="shared" si="229"/>
        <v>2.7469948901997471E-2</v>
      </c>
      <c r="AB200" s="1135">
        <f t="shared" si="220"/>
        <v>2.5454345875570321E-2</v>
      </c>
      <c r="AC200" s="1132">
        <f t="shared" si="215"/>
        <v>16.5</v>
      </c>
      <c r="AD200" s="1133">
        <f t="shared" si="230"/>
        <v>67.5</v>
      </c>
      <c r="AE200" s="186">
        <f t="shared" si="221"/>
        <v>-19.137461472619361</v>
      </c>
      <c r="AF200" s="40">
        <f t="shared" si="222"/>
        <v>0.86604548008879689</v>
      </c>
      <c r="AG200" s="13">
        <f t="shared" si="223"/>
        <v>28.817774933277772</v>
      </c>
      <c r="AH200" s="1132">
        <f t="shared" si="231"/>
        <v>1</v>
      </c>
      <c r="AI200" s="1132">
        <f t="shared" si="232"/>
        <v>1</v>
      </c>
      <c r="AJ200" s="187">
        <f t="shared" si="233"/>
        <v>0.86604548008879689</v>
      </c>
      <c r="AK200" s="1136">
        <f t="shared" si="224"/>
        <v>4.7505417148082589E-2</v>
      </c>
      <c r="AR200" s="1132">
        <v>17</v>
      </c>
      <c r="AS200" s="44">
        <v>319</v>
      </c>
      <c r="AT200" s="1135">
        <f t="shared" si="216"/>
        <v>2.7469948901997471E-2</v>
      </c>
      <c r="AU200" s="1135">
        <f t="shared" si="214"/>
        <v>2.5454345875570321E-2</v>
      </c>
      <c r="AV200" s="1132">
        <f t="shared" si="217"/>
        <v>16.5</v>
      </c>
      <c r="AW200" s="1133">
        <f t="shared" si="234"/>
        <v>67.5</v>
      </c>
      <c r="AX200" s="186">
        <f t="shared" si="225"/>
        <v>-19.137461472619361</v>
      </c>
      <c r="AY200" s="40">
        <f t="shared" si="226"/>
        <v>0.86604548008879689</v>
      </c>
      <c r="AZ200" s="13">
        <f t="shared" si="227"/>
        <v>28.817774933277772</v>
      </c>
      <c r="BA200" s="1132">
        <f t="shared" si="235"/>
        <v>1</v>
      </c>
      <c r="BB200" s="1132">
        <f t="shared" si="236"/>
        <v>1</v>
      </c>
      <c r="BC200" s="187">
        <f t="shared" si="237"/>
        <v>0.86604548008879689</v>
      </c>
      <c r="BD200" s="1136">
        <f t="shared" si="228"/>
        <v>4.7505417148082589E-2</v>
      </c>
      <c r="BG200" s="1132"/>
      <c r="BH200" s="1132"/>
      <c r="BI200" s="1132"/>
    </row>
    <row r="201" spans="1:61" x14ac:dyDescent="0.2">
      <c r="A201" s="1135">
        <v>9.3164577175961875E-3</v>
      </c>
      <c r="B201" s="1135">
        <v>1.3402571622772981E-2</v>
      </c>
      <c r="C201" s="1135"/>
      <c r="D201" s="1135">
        <v>1.0008268501450486E-2</v>
      </c>
      <c r="E201" s="187">
        <v>1.7073508295989109E-2</v>
      </c>
      <c r="F201" s="187"/>
      <c r="G201" s="187">
        <v>1.1922602116462721E-2</v>
      </c>
      <c r="H201" s="187">
        <v>1.6558329992554834E-2</v>
      </c>
      <c r="I201" s="187"/>
      <c r="J201" s="187">
        <v>1.2371151721888024E-2</v>
      </c>
      <c r="K201" s="187">
        <v>1.404524928314285E-2</v>
      </c>
      <c r="L201" s="187"/>
      <c r="M201" s="187">
        <v>1.2573724346910649E-2</v>
      </c>
      <c r="N201" s="187">
        <v>1.8024364743372025E-2</v>
      </c>
      <c r="O201" s="187"/>
      <c r="P201" s="187">
        <v>1.2870916644852983E-2</v>
      </c>
      <c r="Q201" s="187">
        <v>1.9575270657565327E-2</v>
      </c>
      <c r="R201" s="187"/>
      <c r="S201" s="187">
        <v>1.6762747744448747E-2</v>
      </c>
      <c r="T201" s="187">
        <v>2.0770776007281937E-2</v>
      </c>
      <c r="U201" s="187"/>
      <c r="V201" s="1138">
        <f t="shared" si="218"/>
        <v>1.1922602116462721E-2</v>
      </c>
      <c r="W201" s="1138">
        <f t="shared" si="219"/>
        <v>1.6558329992554834E-2</v>
      </c>
      <c r="Y201" s="1132">
        <v>18</v>
      </c>
      <c r="Z201" s="44">
        <v>319</v>
      </c>
      <c r="AA201" s="1135">
        <f t="shared" si="229"/>
        <v>1.1922602116462721E-2</v>
      </c>
      <c r="AB201" s="1135">
        <f t="shared" si="220"/>
        <v>1.6558329992554834E-2</v>
      </c>
      <c r="AC201" s="1132">
        <f t="shared" si="215"/>
        <v>17.5</v>
      </c>
      <c r="AD201" s="1133">
        <f t="shared" si="230"/>
        <v>82.5</v>
      </c>
      <c r="AE201" s="186">
        <f t="shared" si="221"/>
        <v>-19.137461472619361</v>
      </c>
      <c r="AF201" s="40">
        <f t="shared" si="222"/>
        <v>0.67101974303767142</v>
      </c>
      <c r="AG201" s="13">
        <f t="shared" si="223"/>
        <v>16.386536416571978</v>
      </c>
      <c r="AH201" s="1132">
        <f t="shared" si="231"/>
        <v>1</v>
      </c>
      <c r="AI201" s="1132">
        <f t="shared" si="232"/>
        <v>1</v>
      </c>
      <c r="AJ201" s="187">
        <f t="shared" si="233"/>
        <v>0.67101974303767142</v>
      </c>
      <c r="AK201" s="1136">
        <f t="shared" si="224"/>
        <v>2.3288181485579713E-2</v>
      </c>
      <c r="AR201" s="1132">
        <v>18</v>
      </c>
      <c r="AS201" s="44">
        <v>319</v>
      </c>
      <c r="AT201" s="1135">
        <f t="shared" si="216"/>
        <v>1.1922602116462721E-2</v>
      </c>
      <c r="AU201" s="1135">
        <f t="shared" si="214"/>
        <v>1.6558329992554834E-2</v>
      </c>
      <c r="AV201" s="1132">
        <f t="shared" si="217"/>
        <v>17.5</v>
      </c>
      <c r="AW201" s="1133">
        <f t="shared" si="234"/>
        <v>82.5</v>
      </c>
      <c r="AX201" s="186">
        <f t="shared" si="225"/>
        <v>-19.137461472619361</v>
      </c>
      <c r="AY201" s="40">
        <f t="shared" si="226"/>
        <v>0.67101974303767142</v>
      </c>
      <c r="AZ201" s="13">
        <f t="shared" si="227"/>
        <v>16.386536416571978</v>
      </c>
      <c r="BA201" s="1132">
        <f t="shared" si="235"/>
        <v>1</v>
      </c>
      <c r="BB201" s="1132">
        <f t="shared" si="236"/>
        <v>1</v>
      </c>
      <c r="BC201" s="187">
        <f t="shared" si="237"/>
        <v>0.67101974303767142</v>
      </c>
      <c r="BD201" s="1136">
        <f t="shared" si="228"/>
        <v>2.3288181485579713E-2</v>
      </c>
      <c r="BG201" s="1132"/>
      <c r="BH201" s="1132"/>
      <c r="BI201" s="1132"/>
    </row>
    <row r="202" spans="1:61" x14ac:dyDescent="0.2">
      <c r="A202" s="1135">
        <v>0</v>
      </c>
      <c r="B202" s="1135">
        <v>7.7001839820149654E-4</v>
      </c>
      <c r="C202" s="1135"/>
      <c r="D202" s="1135">
        <v>1.4721810132750776E-4</v>
      </c>
      <c r="E202" s="187">
        <v>3.6023700043068046E-3</v>
      </c>
      <c r="F202" s="187"/>
      <c r="G202" s="187">
        <v>1.901062049392615E-4</v>
      </c>
      <c r="H202" s="187">
        <v>4.0113204665635799E-3</v>
      </c>
      <c r="I202" s="187"/>
      <c r="J202" s="187">
        <v>3.7974828440771333E-3</v>
      </c>
      <c r="K202" s="187">
        <v>5.4028994797419849E-3</v>
      </c>
      <c r="L202" s="187"/>
      <c r="M202" s="187">
        <v>8.8665960141047712E-4</v>
      </c>
      <c r="N202" s="187">
        <v>5.9410498532481426E-3</v>
      </c>
      <c r="O202" s="187"/>
      <c r="P202" s="187">
        <v>1.4397036022793632E-3</v>
      </c>
      <c r="Q202" s="187">
        <v>7.2320775359254732E-3</v>
      </c>
      <c r="R202" s="187"/>
      <c r="S202" s="187">
        <v>5.2766123660357763E-3</v>
      </c>
      <c r="T202" s="187">
        <v>1.2803544711704456E-2</v>
      </c>
      <c r="U202" s="187"/>
      <c r="V202" s="1138">
        <f t="shared" si="218"/>
        <v>1.901062049392615E-4</v>
      </c>
      <c r="W202" s="1138">
        <f t="shared" si="219"/>
        <v>4.0113204665635799E-3</v>
      </c>
      <c r="Y202" s="1132">
        <v>19</v>
      </c>
      <c r="Z202" s="44">
        <v>319</v>
      </c>
      <c r="AA202" s="1135">
        <f t="shared" si="229"/>
        <v>1.901062049392615E-4</v>
      </c>
      <c r="AB202" s="1135">
        <f t="shared" si="220"/>
        <v>4.0113204665635799E-3</v>
      </c>
      <c r="AC202" s="1132">
        <f t="shared" si="215"/>
        <v>18.5</v>
      </c>
      <c r="AD202" s="1133">
        <f t="shared" si="230"/>
        <v>97.5</v>
      </c>
      <c r="AE202" s="186">
        <f t="shared" si="221"/>
        <v>-19.137461472619361</v>
      </c>
      <c r="AF202" s="40">
        <f t="shared" si="222"/>
        <v>-0.72075345561067206</v>
      </c>
      <c r="AG202" s="13">
        <f t="shared" si="223"/>
        <v>4.3096772106138781</v>
      </c>
      <c r="AH202" s="1132">
        <f t="shared" si="231"/>
        <v>1</v>
      </c>
      <c r="AI202" s="1132">
        <f t="shared" si="232"/>
        <v>0</v>
      </c>
      <c r="AJ202" s="187">
        <f t="shared" si="233"/>
        <v>0</v>
      </c>
      <c r="AK202" s="1136">
        <f t="shared" si="224"/>
        <v>3.6404322261712513E-3</v>
      </c>
      <c r="AR202" s="1132">
        <v>19</v>
      </c>
      <c r="AS202" s="44">
        <v>319</v>
      </c>
      <c r="AT202" s="1135">
        <f t="shared" si="216"/>
        <v>1.901062049392615E-4</v>
      </c>
      <c r="AU202" s="1135">
        <f t="shared" si="214"/>
        <v>4.0113204665635799E-3</v>
      </c>
      <c r="AV202" s="1132">
        <f t="shared" si="217"/>
        <v>18.5</v>
      </c>
      <c r="AW202" s="1133">
        <f t="shared" si="234"/>
        <v>97.5</v>
      </c>
      <c r="AX202" s="186">
        <f t="shared" si="225"/>
        <v>-19.137461472619361</v>
      </c>
      <c r="AY202" s="40">
        <f t="shared" si="226"/>
        <v>-0.72075345561067206</v>
      </c>
      <c r="AZ202" s="13">
        <f t="shared" si="227"/>
        <v>4.3096772106138781</v>
      </c>
      <c r="BA202" s="1132">
        <f t="shared" si="235"/>
        <v>1</v>
      </c>
      <c r="BB202" s="1132">
        <f t="shared" si="236"/>
        <v>0</v>
      </c>
      <c r="BC202" s="187">
        <f t="shared" si="237"/>
        <v>0</v>
      </c>
      <c r="BD202" s="1136">
        <f t="shared" si="228"/>
        <v>3.6404322261712513E-3</v>
      </c>
      <c r="BG202" s="1132"/>
      <c r="BH202" s="1132"/>
      <c r="BI202" s="1132"/>
    </row>
    <row r="203" spans="1:61" x14ac:dyDescent="0.2">
      <c r="A203" s="1135">
        <v>0</v>
      </c>
      <c r="B203" s="1135">
        <v>0</v>
      </c>
      <c r="C203" s="1135"/>
      <c r="D203" s="1135">
        <v>0</v>
      </c>
      <c r="E203" s="187">
        <v>0</v>
      </c>
      <c r="F203" s="187"/>
      <c r="G203" s="187">
        <v>0</v>
      </c>
      <c r="H203" s="187">
        <v>0</v>
      </c>
      <c r="I203" s="187"/>
      <c r="J203" s="187">
        <v>1.1446820931660353E-5</v>
      </c>
      <c r="K203" s="187">
        <v>8.4134133847677244E-4</v>
      </c>
      <c r="L203" s="187"/>
      <c r="M203" s="187">
        <v>0</v>
      </c>
      <c r="N203" s="187">
        <v>2.2066828808750328E-5</v>
      </c>
      <c r="O203" s="187"/>
      <c r="P203" s="187">
        <v>0</v>
      </c>
      <c r="Q203" s="187">
        <v>6.4602084717663727E-5</v>
      </c>
      <c r="R203" s="187"/>
      <c r="S203" s="187">
        <v>1.0026609750398449E-4</v>
      </c>
      <c r="T203" s="187">
        <v>2.2232917272622648E-3</v>
      </c>
      <c r="U203" s="187"/>
      <c r="V203" s="1138">
        <f t="shared" si="218"/>
        <v>0</v>
      </c>
      <c r="W203" s="1138">
        <f t="shared" si="219"/>
        <v>0</v>
      </c>
      <c r="Y203" s="1132">
        <v>20</v>
      </c>
      <c r="Z203" s="44">
        <v>319</v>
      </c>
      <c r="AA203" s="1135">
        <f t="shared" si="229"/>
        <v>0</v>
      </c>
      <c r="AB203" s="1135">
        <f t="shared" si="220"/>
        <v>0</v>
      </c>
      <c r="AC203" s="1132">
        <f t="shared" si="215"/>
        <v>19.5</v>
      </c>
      <c r="AD203" s="1133">
        <f t="shared" si="230"/>
        <v>112.5</v>
      </c>
      <c r="AE203" s="186">
        <f t="shared" si="221"/>
        <v>-19.137461472619361</v>
      </c>
      <c r="AF203" s="40">
        <f t="shared" si="222"/>
        <v>2.3799086206809044</v>
      </c>
      <c r="AG203" s="13">
        <f t="shared" si="223"/>
        <v>-7.1678863819633243</v>
      </c>
      <c r="AH203" s="1132">
        <f t="shared" si="231"/>
        <v>0</v>
      </c>
      <c r="AI203" s="1132">
        <f t="shared" si="232"/>
        <v>1</v>
      </c>
      <c r="AJ203" s="187">
        <f t="shared" si="233"/>
        <v>0</v>
      </c>
      <c r="AK203" s="1136">
        <f t="shared" si="224"/>
        <v>0</v>
      </c>
      <c r="AR203" s="1132">
        <v>20</v>
      </c>
      <c r="AS203" s="44">
        <v>319</v>
      </c>
      <c r="AT203" s="1135">
        <f t="shared" si="216"/>
        <v>0</v>
      </c>
      <c r="AU203" s="1135">
        <f t="shared" si="214"/>
        <v>0</v>
      </c>
      <c r="AV203" s="1132">
        <f t="shared" si="217"/>
        <v>19.5</v>
      </c>
      <c r="AW203" s="1133">
        <f t="shared" si="234"/>
        <v>112.5</v>
      </c>
      <c r="AX203" s="186">
        <f t="shared" si="225"/>
        <v>-19.137461472619361</v>
      </c>
      <c r="AY203" s="40">
        <f t="shared" si="226"/>
        <v>2.3799086206809044</v>
      </c>
      <c r="AZ203" s="13">
        <f t="shared" si="227"/>
        <v>-7.1678863819633243</v>
      </c>
      <c r="BA203" s="1132">
        <f t="shared" si="235"/>
        <v>0</v>
      </c>
      <c r="BB203" s="1132">
        <f t="shared" si="236"/>
        <v>1</v>
      </c>
      <c r="BC203" s="187">
        <f t="shared" si="237"/>
        <v>0</v>
      </c>
      <c r="BD203" s="1136">
        <f t="shared" si="228"/>
        <v>0</v>
      </c>
      <c r="BG203" s="1132"/>
      <c r="BH203" s="1132"/>
      <c r="BI203" s="1132"/>
    </row>
    <row r="204" spans="1:61" x14ac:dyDescent="0.2">
      <c r="A204" s="1135"/>
      <c r="B204" s="1135"/>
      <c r="C204" s="1135"/>
      <c r="D204" s="1135"/>
      <c r="E204" s="187"/>
      <c r="F204" s="187"/>
      <c r="G204" s="187"/>
      <c r="H204" s="187"/>
      <c r="I204" s="187"/>
      <c r="J204" s="187"/>
      <c r="K204" s="187"/>
      <c r="L204" s="187"/>
      <c r="M204" s="187"/>
      <c r="N204" s="187"/>
      <c r="O204" s="187"/>
      <c r="P204" s="187"/>
      <c r="Q204" s="187"/>
      <c r="R204" s="187"/>
      <c r="S204" s="187"/>
      <c r="T204" s="187"/>
      <c r="U204" s="187"/>
      <c r="V204" s="1138"/>
      <c r="W204" s="1138"/>
      <c r="Y204" s="11"/>
      <c r="Z204" s="1139"/>
      <c r="AA204" s="11"/>
      <c r="AC204" s="1132">
        <f t="shared" si="215"/>
        <v>-0.5</v>
      </c>
      <c r="AF204" s="187"/>
      <c r="AK204" s="187">
        <f>SUM(AK188:AK203)</f>
        <v>0.88054152255412921</v>
      </c>
      <c r="AR204" s="11"/>
      <c r="AS204" s="1139"/>
      <c r="AT204" s="1135"/>
      <c r="AU204" s="1135"/>
      <c r="AV204" s="1132">
        <f t="shared" si="217"/>
        <v>-0.5</v>
      </c>
      <c r="AY204" s="40"/>
      <c r="BD204" s="187">
        <f>SUM(BD188:BD203)</f>
        <v>0.88054152255412921</v>
      </c>
      <c r="BG204" s="1132"/>
      <c r="BH204" s="1132"/>
      <c r="BI204" s="1132"/>
    </row>
    <row r="205" spans="1:61" x14ac:dyDescent="0.2">
      <c r="A205" s="1135" t="s">
        <v>1267</v>
      </c>
      <c r="B205" s="1135"/>
      <c r="C205" s="1135"/>
      <c r="D205" s="1135" t="s">
        <v>1267</v>
      </c>
      <c r="E205" s="187"/>
      <c r="F205" s="187"/>
      <c r="G205" s="187" t="s">
        <v>1267</v>
      </c>
      <c r="H205" s="187"/>
      <c r="I205" s="187"/>
      <c r="J205" s="187" t="s">
        <v>1267</v>
      </c>
      <c r="K205" s="187"/>
      <c r="L205" s="187"/>
      <c r="M205" s="187" t="s">
        <v>1267</v>
      </c>
      <c r="N205" s="187"/>
      <c r="O205" s="187"/>
      <c r="P205" s="187" t="s">
        <v>1267</v>
      </c>
      <c r="Q205" s="187"/>
      <c r="R205" s="187"/>
      <c r="S205" s="187" t="s">
        <v>1267</v>
      </c>
      <c r="T205" s="187"/>
      <c r="U205" s="187"/>
      <c r="V205" s="1138"/>
      <c r="W205" s="1138"/>
      <c r="Z205" s="44"/>
      <c r="AC205" s="1132">
        <f t="shared" si="215"/>
        <v>-0.5</v>
      </c>
      <c r="AS205" s="44"/>
      <c r="AT205" s="1135"/>
      <c r="AU205" s="1135"/>
      <c r="AV205" s="1132">
        <f t="shared" si="217"/>
        <v>-0.5</v>
      </c>
      <c r="AY205" s="40"/>
      <c r="BG205" s="1132"/>
      <c r="BH205" s="1132"/>
      <c r="BI205" s="1132"/>
    </row>
    <row r="206" spans="1:61" x14ac:dyDescent="0.2">
      <c r="A206" s="1135">
        <v>0</v>
      </c>
      <c r="B206" s="1135">
        <v>0</v>
      </c>
      <c r="C206" s="1135"/>
      <c r="D206" s="1135">
        <v>1.5316763274254192E-6</v>
      </c>
      <c r="E206" s="187">
        <v>6.8925434734143864E-6</v>
      </c>
      <c r="F206" s="187"/>
      <c r="G206" s="187">
        <v>7.2674732106251822E-7</v>
      </c>
      <c r="H206" s="187">
        <v>1.1627957137000292E-5</v>
      </c>
      <c r="I206" s="187"/>
      <c r="J206" s="187">
        <v>9.5302540367986919E-4</v>
      </c>
      <c r="K206" s="187">
        <v>2.5749764972054887E-3</v>
      </c>
      <c r="L206" s="187"/>
      <c r="M206" s="187">
        <v>2.8084372942049083E-6</v>
      </c>
      <c r="N206" s="187">
        <v>1.3129444350407944E-4</v>
      </c>
      <c r="O206" s="187"/>
      <c r="P206" s="187">
        <v>1.6498250315755842E-5</v>
      </c>
      <c r="Q206" s="187">
        <v>3.2041338771125809E-4</v>
      </c>
      <c r="R206" s="187"/>
      <c r="S206" s="187">
        <v>6.050525159401487E-4</v>
      </c>
      <c r="T206" s="187">
        <v>5.6551361346602446E-3</v>
      </c>
      <c r="U206" s="187"/>
      <c r="V206" s="1138">
        <f t="shared" ref="V206:V221" si="238">CHOOSE($B$1,A206,D206,G206,J206,M206,P206,S206)</f>
        <v>7.2674732106251822E-7</v>
      </c>
      <c r="W206" s="1138">
        <f t="shared" ref="W206:W221" si="239">CHOOSE($B$1,B206,E206,H206,K206,N206,Q206,T206)</f>
        <v>1.1627957137000292E-5</v>
      </c>
      <c r="Y206" s="1132">
        <v>5</v>
      </c>
      <c r="Z206" s="44">
        <v>349</v>
      </c>
      <c r="AA206" s="1135">
        <f>V206</f>
        <v>7.2674732106251822E-7</v>
      </c>
      <c r="AB206" s="1135">
        <f t="shared" ref="AB206:AB221" si="240">W206</f>
        <v>1.1627957137000292E-5</v>
      </c>
      <c r="AC206" s="1132">
        <f t="shared" si="215"/>
        <v>4.5</v>
      </c>
      <c r="AD206" s="1133">
        <f>15*(AC206-12)</f>
        <v>-112.5</v>
      </c>
      <c r="AE206" s="186">
        <f t="shared" ref="AE206:AE221" si="241">23.45*SIN(360*(284+Z206)/365/57.3)</f>
        <v>-23.333352140938864</v>
      </c>
      <c r="AF206" s="40">
        <f t="shared" ref="AF206:AF221" si="242">((SIN(AE206/57.3)*SIN($B$2/57.3)*COS($Z$2/57.3))-SIN(AE206/57.3)*COS($B$2/57.3)*SIN($Z$2/57.3)*COS($Z$3/57.3)+COS(AE206/57.3)*COS($B$2/57.3)*COS($Z$2/57.3)*COS(AD206/57.3)+COS(AE206/57.3)*SIN($B$2/57.3)*SIN($Z$2/57.3)*COS($Z$3/57.3)*COS(AD206/57.3)+COS(AE206/57.3)*SIN($Z$2/57.3)*SIN($Z$3/57.3)*SIN(AD206/57.3))/(COS($B$2/57.3)*COS(AE206/57.3)*COS(AD206/57.3)+SIN($B$2/57.3)*SIN(AE206/57.3))</f>
        <v>6.1661079682388955</v>
      </c>
      <c r="AG206" s="13">
        <f t="shared" ref="AG206:AG221" si="243">57.3*ASIN(SIN($B$2/57.3)*SIN(AE206/57.3)+COS($B$2/57.3)*COS(AD206/57.3)*COS(AE206/57.6))</f>
        <v>-4.5419653324691653</v>
      </c>
      <c r="AH206" s="1132">
        <f>IF(AG206&lt;0,0,1)</f>
        <v>0</v>
      </c>
      <c r="AI206" s="1132">
        <f>IF(AF206&lt;0,0,1)</f>
        <v>1</v>
      </c>
      <c r="AJ206" s="187">
        <f>AF206*AI206*AH206</f>
        <v>0</v>
      </c>
      <c r="AK206" s="1136">
        <f t="shared" ref="AK206:AK221" si="244">AA206*AJ206+((1+COS($Z$2/57.3))/2)*AB206+((1-COS($Z$2/57.3))/2)*(AA206+AB206)*0.2</f>
        <v>1.0556941048928097E-5</v>
      </c>
      <c r="AR206" s="1132">
        <v>5</v>
      </c>
      <c r="AS206" s="44">
        <v>349</v>
      </c>
      <c r="AT206" s="1135">
        <f t="shared" si="216"/>
        <v>7.2674732106251822E-7</v>
      </c>
      <c r="AU206" s="1135">
        <f t="shared" si="214"/>
        <v>1.1627957137000292E-5</v>
      </c>
      <c r="AV206" s="1132">
        <f t="shared" si="217"/>
        <v>4.5</v>
      </c>
      <c r="AW206" s="1133">
        <f>15*(AV206-12)</f>
        <v>-112.5</v>
      </c>
      <c r="AX206" s="186">
        <f t="shared" ref="AX206:AX221" si="245">23.45*SIN(360*(284+AS206)/365/57.3)</f>
        <v>-23.333352140938864</v>
      </c>
      <c r="AY206" s="40">
        <f t="shared" ref="AY206:AY221" si="246">((SIN(AX206/57.3)*SIN($B$2/57.3)*COS($AS$2/57.3))-SIN(AX206/57.3)*COS($B$2/57.3)*SIN($AS$2/57.3)*COS($AS$3/57.3)+COS(AX206/57.3)*COS($B$2/57.3)*COS($AS$2/57.3)*COS(AW206/57.3)+COS(AX206/57.3)*SIN($B$2/57.3)*SIN($AS$2/57.3)*COS($AS$3/57.3)*COS(AW206/57.3)+COS(AX206/57.3)*SIN($AS$2/57.3)*SIN($AS$3/57.3)*SIN(AW206/57.3))/(COS($B$2/57.3)*COS(AX206/57.3)*COS(AW206/57.3)+SIN($B$2/57.3)*SIN(AX206/57.3))</f>
        <v>6.1661079682388955</v>
      </c>
      <c r="AZ206" s="13">
        <f t="shared" ref="AZ206:AZ221" si="247">57.3*ASIN(SIN($B$2/57.3)*SIN(AX206/57.3)+COS($B$2/57.3)*COS(AW206/57.3)*COS(AX206/57.6))</f>
        <v>-4.5419653324691653</v>
      </c>
      <c r="BA206" s="1132">
        <f>IF(AZ206&lt;0,0,1)</f>
        <v>0</v>
      </c>
      <c r="BB206" s="1132">
        <f>IF(AY206&lt;0,0,1)</f>
        <v>1</v>
      </c>
      <c r="BC206" s="187">
        <f>AY206*BB206*BA206</f>
        <v>0</v>
      </c>
      <c r="BD206" s="1136">
        <f t="shared" ref="BD206:BD221" si="248">AT206*BC206+((1+COS($Z$2/57.3))/2)*AU206+((1-COS($Z$2/57.3))/2)*(AT206+AU206)*0.2</f>
        <v>1.0556941048928097E-5</v>
      </c>
      <c r="BG206" s="1132"/>
      <c r="BH206" s="1132"/>
      <c r="BI206" s="1132"/>
    </row>
    <row r="207" spans="1:61" x14ac:dyDescent="0.2">
      <c r="A207" s="1135">
        <v>0</v>
      </c>
      <c r="B207" s="1135">
        <v>1.2913198487198413E-3</v>
      </c>
      <c r="C207" s="1135"/>
      <c r="D207" s="1135">
        <v>2.9706447996969467E-4</v>
      </c>
      <c r="E207" s="187">
        <v>6.1575933999252659E-3</v>
      </c>
      <c r="F207" s="187"/>
      <c r="G207" s="187">
        <v>3.6736791494220165E-4</v>
      </c>
      <c r="H207" s="187">
        <v>5.495284632585716E-3</v>
      </c>
      <c r="I207" s="187"/>
      <c r="J207" s="187">
        <v>5.9712594398586769E-3</v>
      </c>
      <c r="K207" s="187">
        <v>7.4821533725218815E-3</v>
      </c>
      <c r="L207" s="187"/>
      <c r="M207" s="187">
        <v>2.1316039063015253E-3</v>
      </c>
      <c r="N207" s="187">
        <v>7.9520901985411993E-3</v>
      </c>
      <c r="O207" s="187"/>
      <c r="P207" s="187">
        <v>2.4382677308759154E-3</v>
      </c>
      <c r="Q207" s="187">
        <v>1.0447734094693382E-2</v>
      </c>
      <c r="R207" s="187"/>
      <c r="S207" s="187">
        <v>8.1656577095297819E-3</v>
      </c>
      <c r="T207" s="187">
        <v>1.4040961933531257E-2</v>
      </c>
      <c r="U207" s="187"/>
      <c r="V207" s="1138">
        <f t="shared" si="238"/>
        <v>3.6736791494220165E-4</v>
      </c>
      <c r="W207" s="1138">
        <f t="shared" si="239"/>
        <v>5.495284632585716E-3</v>
      </c>
      <c r="Y207" s="1132">
        <v>6</v>
      </c>
      <c r="Z207" s="44">
        <v>349</v>
      </c>
      <c r="AA207" s="1135">
        <f t="shared" ref="AA207:AA221" si="249">V207</f>
        <v>3.6736791494220165E-4</v>
      </c>
      <c r="AB207" s="1135">
        <f t="shared" si="240"/>
        <v>5.495284632585716E-3</v>
      </c>
      <c r="AC207" s="1132">
        <f t="shared" si="215"/>
        <v>5.5</v>
      </c>
      <c r="AD207" s="1133">
        <f t="shared" ref="AD207:AD221" si="250">15*(AC207-12)</f>
        <v>-97.5</v>
      </c>
      <c r="AE207" s="186">
        <f t="shared" si="241"/>
        <v>-23.333352140938864</v>
      </c>
      <c r="AF207" s="40">
        <f t="shared" si="242"/>
        <v>-2.298614532349109</v>
      </c>
      <c r="AG207" s="13">
        <f t="shared" si="243"/>
        <v>6.6142556566715101</v>
      </c>
      <c r="AH207" s="1132">
        <f t="shared" ref="AH207:AH221" si="251">IF(AG207&lt;0,0,1)</f>
        <v>1</v>
      </c>
      <c r="AI207" s="1132">
        <f t="shared" ref="AI207:AI221" si="252">IF(AF207&lt;0,0,1)</f>
        <v>0</v>
      </c>
      <c r="AJ207" s="187">
        <f t="shared" ref="AJ207:AJ221" si="253">AF207*AI207*AH207</f>
        <v>0</v>
      </c>
      <c r="AK207" s="1136">
        <f t="shared" si="244"/>
        <v>4.9896898966441724E-3</v>
      </c>
      <c r="AR207" s="1132">
        <v>6</v>
      </c>
      <c r="AS207" s="44">
        <v>349</v>
      </c>
      <c r="AT207" s="1135">
        <f t="shared" si="216"/>
        <v>3.6736791494220165E-4</v>
      </c>
      <c r="AU207" s="1135">
        <f t="shared" si="214"/>
        <v>5.495284632585716E-3</v>
      </c>
      <c r="AV207" s="1132">
        <f t="shared" si="217"/>
        <v>5.5</v>
      </c>
      <c r="AW207" s="1133">
        <f t="shared" ref="AW207:AW221" si="254">15*(AV207-12)</f>
        <v>-97.5</v>
      </c>
      <c r="AX207" s="186">
        <f t="shared" si="245"/>
        <v>-23.333352140938864</v>
      </c>
      <c r="AY207" s="40">
        <f t="shared" si="246"/>
        <v>-2.298614532349109</v>
      </c>
      <c r="AZ207" s="13">
        <f t="shared" si="247"/>
        <v>6.6142556566715101</v>
      </c>
      <c r="BA207" s="1132">
        <f t="shared" ref="BA207:BA221" si="255">IF(AZ207&lt;0,0,1)</f>
        <v>1</v>
      </c>
      <c r="BB207" s="1132">
        <f t="shared" ref="BB207:BB221" si="256">IF(AY207&lt;0,0,1)</f>
        <v>0</v>
      </c>
      <c r="BC207" s="187">
        <f t="shared" ref="BC207:BC221" si="257">AY207*BB207*BA207</f>
        <v>0</v>
      </c>
      <c r="BD207" s="1136">
        <f t="shared" si="248"/>
        <v>4.9896898966441724E-3</v>
      </c>
      <c r="BG207" s="1132"/>
      <c r="BH207" s="1132"/>
      <c r="BI207" s="1132"/>
    </row>
    <row r="208" spans="1:61" x14ac:dyDescent="0.2">
      <c r="A208" s="1135">
        <v>1.0703998996337838E-2</v>
      </c>
      <c r="B208" s="1135">
        <v>1.3534202970644796E-2</v>
      </c>
      <c r="C208" s="1135"/>
      <c r="D208" s="1135">
        <v>1.2603307489509724E-2</v>
      </c>
      <c r="E208" s="187">
        <v>1.7498899050667621E-2</v>
      </c>
      <c r="F208" s="187"/>
      <c r="G208" s="187">
        <v>1.3032464862924044E-2</v>
      </c>
      <c r="H208" s="187">
        <v>1.5973706541643286E-2</v>
      </c>
      <c r="I208" s="187"/>
      <c r="J208" s="187">
        <v>1.7053731004060033E-2</v>
      </c>
      <c r="K208" s="187">
        <v>1.6020641135572392E-2</v>
      </c>
      <c r="L208" s="187"/>
      <c r="M208" s="187">
        <v>1.5817469801637507E-2</v>
      </c>
      <c r="N208" s="187">
        <v>1.6858596232367726E-2</v>
      </c>
      <c r="O208" s="187"/>
      <c r="P208" s="187">
        <v>1.4272198377729304E-2</v>
      </c>
      <c r="Q208" s="187">
        <v>2.0755007986432122E-2</v>
      </c>
      <c r="R208" s="187"/>
      <c r="S208" s="187">
        <v>1.6990997255268789E-2</v>
      </c>
      <c r="T208" s="187">
        <v>2.213683270461516E-2</v>
      </c>
      <c r="U208" s="187"/>
      <c r="V208" s="1138">
        <f t="shared" si="238"/>
        <v>1.3032464862924044E-2</v>
      </c>
      <c r="W208" s="1138">
        <f t="shared" si="239"/>
        <v>1.5973706541643286E-2</v>
      </c>
      <c r="Y208" s="1132">
        <v>7</v>
      </c>
      <c r="Z208" s="44">
        <v>349</v>
      </c>
      <c r="AA208" s="1135">
        <f t="shared" si="249"/>
        <v>1.3032464862924044E-2</v>
      </c>
      <c r="AB208" s="1135">
        <f t="shared" si="240"/>
        <v>1.5973706541643286E-2</v>
      </c>
      <c r="AC208" s="1132">
        <f t="shared" si="215"/>
        <v>6.5</v>
      </c>
      <c r="AD208" s="1133">
        <f t="shared" si="250"/>
        <v>-82.5</v>
      </c>
      <c r="AE208" s="186">
        <f t="shared" si="241"/>
        <v>-23.333352140938864</v>
      </c>
      <c r="AF208" s="40">
        <f t="shared" si="242"/>
        <v>-8.9564635989874575E-2</v>
      </c>
      <c r="AG208" s="13">
        <f t="shared" si="243"/>
        <v>18.445751073618812</v>
      </c>
      <c r="AH208" s="1132">
        <f t="shared" si="251"/>
        <v>1</v>
      </c>
      <c r="AI208" s="1132">
        <f t="shared" si="252"/>
        <v>0</v>
      </c>
      <c r="AJ208" s="187">
        <f t="shared" si="253"/>
        <v>0</v>
      </c>
      <c r="AK208" s="1136">
        <f t="shared" si="244"/>
        <v>1.4783921446285682E-2</v>
      </c>
      <c r="AR208" s="1132">
        <v>7</v>
      </c>
      <c r="AS208" s="44">
        <v>349</v>
      </c>
      <c r="AT208" s="1135">
        <f t="shared" si="216"/>
        <v>1.3032464862924044E-2</v>
      </c>
      <c r="AU208" s="1135">
        <f t="shared" si="214"/>
        <v>1.5973706541643286E-2</v>
      </c>
      <c r="AV208" s="1132">
        <f t="shared" si="217"/>
        <v>6.5</v>
      </c>
      <c r="AW208" s="1133">
        <f t="shared" si="254"/>
        <v>-82.5</v>
      </c>
      <c r="AX208" s="186">
        <f t="shared" si="245"/>
        <v>-23.333352140938864</v>
      </c>
      <c r="AY208" s="40">
        <f t="shared" si="246"/>
        <v>-8.9564635989874575E-2</v>
      </c>
      <c r="AZ208" s="13">
        <f t="shared" si="247"/>
        <v>18.445751073618812</v>
      </c>
      <c r="BA208" s="1132">
        <f t="shared" si="255"/>
        <v>1</v>
      </c>
      <c r="BB208" s="1132">
        <f t="shared" si="256"/>
        <v>0</v>
      </c>
      <c r="BC208" s="187">
        <f t="shared" si="257"/>
        <v>0</v>
      </c>
      <c r="BD208" s="1136">
        <f t="shared" si="248"/>
        <v>1.4783921446285682E-2</v>
      </c>
      <c r="BG208" s="1132"/>
      <c r="BH208" s="1132"/>
      <c r="BI208" s="1132"/>
    </row>
    <row r="209" spans="1:61" x14ac:dyDescent="0.2">
      <c r="A209" s="1135">
        <v>3.2636309034872038E-2</v>
      </c>
      <c r="B209" s="1135">
        <v>2.0291152674608195E-2</v>
      </c>
      <c r="C209" s="1135"/>
      <c r="D209" s="1135">
        <v>2.9740559249619374E-2</v>
      </c>
      <c r="E209" s="187">
        <v>2.6583008500631854E-2</v>
      </c>
      <c r="F209" s="187"/>
      <c r="G209" s="187">
        <v>3.3905617159361828E-2</v>
      </c>
      <c r="H209" s="187">
        <v>2.3720167285762456E-2</v>
      </c>
      <c r="I209" s="187"/>
      <c r="J209" s="187">
        <v>3.0891969792452241E-2</v>
      </c>
      <c r="K209" s="187">
        <v>2.5228054588468656E-2</v>
      </c>
      <c r="L209" s="187"/>
      <c r="M209" s="187">
        <v>3.4132586403146675E-2</v>
      </c>
      <c r="N209" s="187">
        <v>2.1601522019971373E-2</v>
      </c>
      <c r="O209" s="187"/>
      <c r="P209" s="187">
        <v>2.8348335687288468E-2</v>
      </c>
      <c r="Q209" s="187">
        <v>2.8658329127431877E-2</v>
      </c>
      <c r="R209" s="187"/>
      <c r="S209" s="187">
        <v>3.4528440302559929E-2</v>
      </c>
      <c r="T209" s="187">
        <v>2.6446490529613134E-2</v>
      </c>
      <c r="U209" s="187"/>
      <c r="V209" s="1138">
        <f t="shared" si="238"/>
        <v>3.3905617159361828E-2</v>
      </c>
      <c r="W209" s="1138">
        <f t="shared" si="239"/>
        <v>2.3720167285762456E-2</v>
      </c>
      <c r="Y209" s="1132">
        <v>8</v>
      </c>
      <c r="Z209" s="44">
        <v>349</v>
      </c>
      <c r="AA209" s="1135">
        <f t="shared" si="249"/>
        <v>3.3905617159361828E-2</v>
      </c>
      <c r="AB209" s="1135">
        <f t="shared" si="240"/>
        <v>2.3720167285762456E-2</v>
      </c>
      <c r="AC209" s="1132">
        <f t="shared" si="215"/>
        <v>7.5</v>
      </c>
      <c r="AD209" s="1133">
        <f t="shared" si="250"/>
        <v>-67.5</v>
      </c>
      <c r="AE209" s="186">
        <f t="shared" si="241"/>
        <v>-23.333352140938864</v>
      </c>
      <c r="AF209" s="40">
        <f t="shared" si="242"/>
        <v>0.40583127593273788</v>
      </c>
      <c r="AG209" s="13">
        <f t="shared" si="243"/>
        <v>30.714820250313231</v>
      </c>
      <c r="AH209" s="1132">
        <f t="shared" si="251"/>
        <v>1</v>
      </c>
      <c r="AI209" s="1132">
        <f t="shared" si="252"/>
        <v>1</v>
      </c>
      <c r="AJ209" s="187">
        <f t="shared" si="253"/>
        <v>0.40583127593273788</v>
      </c>
      <c r="AK209" s="1136">
        <f t="shared" si="244"/>
        <v>3.6053783470113378E-2</v>
      </c>
      <c r="AR209" s="1132">
        <v>8</v>
      </c>
      <c r="AS209" s="44">
        <v>349</v>
      </c>
      <c r="AT209" s="1135">
        <f t="shared" si="216"/>
        <v>3.3905617159361828E-2</v>
      </c>
      <c r="AU209" s="1135">
        <f t="shared" si="214"/>
        <v>2.3720167285762456E-2</v>
      </c>
      <c r="AV209" s="1132">
        <f t="shared" si="217"/>
        <v>7.5</v>
      </c>
      <c r="AW209" s="1133">
        <f t="shared" si="254"/>
        <v>-67.5</v>
      </c>
      <c r="AX209" s="186">
        <f t="shared" si="245"/>
        <v>-23.333352140938864</v>
      </c>
      <c r="AY209" s="40">
        <f t="shared" si="246"/>
        <v>0.40583127593273788</v>
      </c>
      <c r="AZ209" s="13">
        <f t="shared" si="247"/>
        <v>30.714820250313231</v>
      </c>
      <c r="BA209" s="1132">
        <f t="shared" si="255"/>
        <v>1</v>
      </c>
      <c r="BB209" s="1132">
        <f t="shared" si="256"/>
        <v>1</v>
      </c>
      <c r="BC209" s="187">
        <f t="shared" si="257"/>
        <v>0.40583127593273788</v>
      </c>
      <c r="BD209" s="1136">
        <f t="shared" si="248"/>
        <v>3.6053783470113378E-2</v>
      </c>
      <c r="BG209" s="1132"/>
      <c r="BH209" s="1132"/>
      <c r="BI209" s="1132"/>
    </row>
    <row r="210" spans="1:61" x14ac:dyDescent="0.2">
      <c r="A210" s="1135">
        <v>5.1437926216191615E-2</v>
      </c>
      <c r="B210" s="1135">
        <v>2.8320271641318936E-2</v>
      </c>
      <c r="C210" s="1135"/>
      <c r="D210" s="1135">
        <v>4.116839632854042E-2</v>
      </c>
      <c r="E210" s="187">
        <v>3.5154269228904515E-2</v>
      </c>
      <c r="F210" s="187"/>
      <c r="G210" s="187">
        <v>4.8993670649429645E-2</v>
      </c>
      <c r="H210" s="187">
        <v>2.9086608030885169E-2</v>
      </c>
      <c r="I210" s="187"/>
      <c r="J210" s="187">
        <v>4.1132473113836165E-2</v>
      </c>
      <c r="K210" s="187">
        <v>3.4355403576557149E-2</v>
      </c>
      <c r="L210" s="187"/>
      <c r="M210" s="187">
        <v>5.094786095417124E-2</v>
      </c>
      <c r="N210" s="187">
        <v>2.8482468928502633E-2</v>
      </c>
      <c r="O210" s="187"/>
      <c r="P210" s="187">
        <v>3.7442344927125878E-2</v>
      </c>
      <c r="Q210" s="187">
        <v>3.6659980530573469E-2</v>
      </c>
      <c r="R210" s="187"/>
      <c r="S210" s="187">
        <v>4.354314497729711E-2</v>
      </c>
      <c r="T210" s="187">
        <v>3.2363293304864135E-2</v>
      </c>
      <c r="U210" s="187"/>
      <c r="V210" s="1138">
        <f t="shared" si="238"/>
        <v>4.8993670649429645E-2</v>
      </c>
      <c r="W210" s="1138">
        <f t="shared" si="239"/>
        <v>2.9086608030885169E-2</v>
      </c>
      <c r="Y210" s="1132">
        <v>9</v>
      </c>
      <c r="Z210" s="44">
        <v>349</v>
      </c>
      <c r="AA210" s="1135">
        <f t="shared" si="249"/>
        <v>4.8993670649429645E-2</v>
      </c>
      <c r="AB210" s="1135">
        <f t="shared" si="240"/>
        <v>2.9086608030885169E-2</v>
      </c>
      <c r="AC210" s="1132">
        <f t="shared" si="215"/>
        <v>8.5</v>
      </c>
      <c r="AD210" s="1133">
        <f t="shared" si="250"/>
        <v>-52.5</v>
      </c>
      <c r="AE210" s="186">
        <f t="shared" si="241"/>
        <v>-23.333352140938864</v>
      </c>
      <c r="AF210" s="40">
        <f t="shared" si="242"/>
        <v>0.62153365543059336</v>
      </c>
      <c r="AG210" s="13">
        <f t="shared" si="243"/>
        <v>43.236831700891408</v>
      </c>
      <c r="AH210" s="1132">
        <f t="shared" si="251"/>
        <v>1</v>
      </c>
      <c r="AI210" s="1132">
        <f t="shared" si="252"/>
        <v>1</v>
      </c>
      <c r="AJ210" s="187">
        <f t="shared" si="253"/>
        <v>0.62153365543059336</v>
      </c>
      <c r="AK210" s="1136">
        <f t="shared" si="244"/>
        <v>5.7962290576012085E-2</v>
      </c>
      <c r="AR210" s="1132">
        <v>9</v>
      </c>
      <c r="AS210" s="44">
        <v>349</v>
      </c>
      <c r="AT210" s="1135">
        <f t="shared" si="216"/>
        <v>4.8993670649429645E-2</v>
      </c>
      <c r="AU210" s="1135">
        <f t="shared" si="214"/>
        <v>2.9086608030885169E-2</v>
      </c>
      <c r="AV210" s="1132">
        <f t="shared" si="217"/>
        <v>8.5</v>
      </c>
      <c r="AW210" s="1133">
        <f t="shared" si="254"/>
        <v>-52.5</v>
      </c>
      <c r="AX210" s="186">
        <f t="shared" si="245"/>
        <v>-23.333352140938864</v>
      </c>
      <c r="AY210" s="40">
        <f t="shared" si="246"/>
        <v>0.62153365543059336</v>
      </c>
      <c r="AZ210" s="13">
        <f t="shared" si="247"/>
        <v>43.236831700891408</v>
      </c>
      <c r="BA210" s="1132">
        <f t="shared" si="255"/>
        <v>1</v>
      </c>
      <c r="BB210" s="1132">
        <f t="shared" si="256"/>
        <v>1</v>
      </c>
      <c r="BC210" s="187">
        <f t="shared" si="257"/>
        <v>0.62153365543059336</v>
      </c>
      <c r="BD210" s="1136">
        <f t="shared" si="248"/>
        <v>5.7962290576012085E-2</v>
      </c>
      <c r="BG210" s="1132"/>
      <c r="BH210" s="1132"/>
      <c r="BI210" s="1132"/>
    </row>
    <row r="211" spans="1:61" x14ac:dyDescent="0.2">
      <c r="A211" s="1135">
        <v>6.541278264775488E-2</v>
      </c>
      <c r="B211" s="1135">
        <v>3.3484142067459928E-2</v>
      </c>
      <c r="C211" s="1135"/>
      <c r="D211" s="1135">
        <v>5.6381771450693396E-2</v>
      </c>
      <c r="E211" s="187">
        <v>3.8249021248467574E-2</v>
      </c>
      <c r="F211" s="187"/>
      <c r="G211" s="187">
        <v>6.4038066942744859E-2</v>
      </c>
      <c r="H211" s="187">
        <v>3.5039395337708251E-2</v>
      </c>
      <c r="I211" s="187"/>
      <c r="J211" s="187">
        <v>5.2602353378720386E-2</v>
      </c>
      <c r="K211" s="187">
        <v>4.2341188259966744E-2</v>
      </c>
      <c r="L211" s="187"/>
      <c r="M211" s="187">
        <v>6.2091740137576332E-2</v>
      </c>
      <c r="N211" s="187">
        <v>3.2688103776574481E-2</v>
      </c>
      <c r="O211" s="187"/>
      <c r="P211" s="187">
        <v>5.2389759713200673E-2</v>
      </c>
      <c r="Q211" s="187">
        <v>4.6037933341634668E-2</v>
      </c>
      <c r="R211" s="187"/>
      <c r="S211" s="187">
        <v>5.011617797106438E-2</v>
      </c>
      <c r="T211" s="187">
        <v>4.0212467075771197E-2</v>
      </c>
      <c r="U211" s="187"/>
      <c r="V211" s="1138">
        <f t="shared" si="238"/>
        <v>6.4038066942744859E-2</v>
      </c>
      <c r="W211" s="1138">
        <f t="shared" si="239"/>
        <v>3.5039395337708251E-2</v>
      </c>
      <c r="Y211" s="1132">
        <v>10</v>
      </c>
      <c r="Z211" s="44">
        <v>349</v>
      </c>
      <c r="AA211" s="1135">
        <f t="shared" si="249"/>
        <v>6.4038066942744859E-2</v>
      </c>
      <c r="AB211" s="1135">
        <f t="shared" si="240"/>
        <v>3.5039395337708251E-2</v>
      </c>
      <c r="AC211" s="1132">
        <f t="shared" si="215"/>
        <v>9.5</v>
      </c>
      <c r="AD211" s="1133">
        <f t="shared" si="250"/>
        <v>-37.5</v>
      </c>
      <c r="AE211" s="186">
        <f t="shared" si="241"/>
        <v>-23.333352140938864</v>
      </c>
      <c r="AF211" s="40">
        <f t="shared" si="242"/>
        <v>0.73996611516699995</v>
      </c>
      <c r="AG211" s="13">
        <f t="shared" si="243"/>
        <v>55.82062855346495</v>
      </c>
      <c r="AH211" s="1132">
        <f t="shared" si="251"/>
        <v>1</v>
      </c>
      <c r="AI211" s="1132">
        <f t="shared" si="252"/>
        <v>1</v>
      </c>
      <c r="AJ211" s="187">
        <f t="shared" si="253"/>
        <v>0.73996611516699995</v>
      </c>
      <c r="AK211" s="1136">
        <f t="shared" si="244"/>
        <v>8.0644788209077015E-2</v>
      </c>
      <c r="AR211" s="1132">
        <v>10</v>
      </c>
      <c r="AS211" s="44">
        <v>349</v>
      </c>
      <c r="AT211" s="1135">
        <f t="shared" si="216"/>
        <v>6.4038066942744859E-2</v>
      </c>
      <c r="AU211" s="1135">
        <f t="shared" si="214"/>
        <v>3.5039395337708251E-2</v>
      </c>
      <c r="AV211" s="1132">
        <f t="shared" si="217"/>
        <v>9.5</v>
      </c>
      <c r="AW211" s="1133">
        <f t="shared" si="254"/>
        <v>-37.5</v>
      </c>
      <c r="AX211" s="186">
        <f t="shared" si="245"/>
        <v>-23.333352140938864</v>
      </c>
      <c r="AY211" s="40">
        <f t="shared" si="246"/>
        <v>0.73996611516699995</v>
      </c>
      <c r="AZ211" s="13">
        <f t="shared" si="247"/>
        <v>55.82062855346495</v>
      </c>
      <c r="BA211" s="1132">
        <f t="shared" si="255"/>
        <v>1</v>
      </c>
      <c r="BB211" s="1132">
        <f t="shared" si="256"/>
        <v>1</v>
      </c>
      <c r="BC211" s="187">
        <f t="shared" si="257"/>
        <v>0.73996611516699995</v>
      </c>
      <c r="BD211" s="1136">
        <f t="shared" si="248"/>
        <v>8.0644788209077015E-2</v>
      </c>
      <c r="BG211" s="1132"/>
      <c r="BH211" s="1132"/>
      <c r="BI211" s="1132"/>
    </row>
    <row r="212" spans="1:61" x14ac:dyDescent="0.2">
      <c r="A212" s="1135">
        <v>8.0628940537825711E-2</v>
      </c>
      <c r="B212" s="1135">
        <v>3.7274267973686194E-2</v>
      </c>
      <c r="C212" s="1135"/>
      <c r="D212" s="1135">
        <v>7.1015407082915843E-2</v>
      </c>
      <c r="E212" s="187">
        <v>4.0554194121242823E-2</v>
      </c>
      <c r="F212" s="187"/>
      <c r="G212" s="187">
        <v>7.4847706596228747E-2</v>
      </c>
      <c r="H212" s="187">
        <v>3.5846084864087649E-2</v>
      </c>
      <c r="I212" s="187"/>
      <c r="J212" s="187">
        <v>6.2367635360600013E-2</v>
      </c>
      <c r="K212" s="187">
        <v>4.6961682696777779E-2</v>
      </c>
      <c r="L212" s="187"/>
      <c r="M212" s="187">
        <v>7.5245056204985006E-2</v>
      </c>
      <c r="N212" s="187">
        <v>3.441459060318694E-2</v>
      </c>
      <c r="O212" s="187"/>
      <c r="P212" s="187">
        <v>6.1816338946245171E-2</v>
      </c>
      <c r="Q212" s="187">
        <v>4.9786509479167185E-2</v>
      </c>
      <c r="R212" s="187"/>
      <c r="S212" s="187">
        <v>5.4318527710015677E-2</v>
      </c>
      <c r="T212" s="187">
        <v>4.1227766659135974E-2</v>
      </c>
      <c r="U212" s="187"/>
      <c r="V212" s="1138">
        <f t="shared" si="238"/>
        <v>7.4847706596228747E-2</v>
      </c>
      <c r="W212" s="1138">
        <f t="shared" si="239"/>
        <v>3.5846084864087649E-2</v>
      </c>
      <c r="Y212" s="1132">
        <v>11</v>
      </c>
      <c r="Z212" s="44">
        <v>349</v>
      </c>
      <c r="AA212" s="1135">
        <f t="shared" si="249"/>
        <v>7.4847706596228747E-2</v>
      </c>
      <c r="AB212" s="1135">
        <f t="shared" si="240"/>
        <v>3.5846084864087649E-2</v>
      </c>
      <c r="AC212" s="1132">
        <f t="shared" si="215"/>
        <v>10.5</v>
      </c>
      <c r="AD212" s="1133">
        <f t="shared" si="250"/>
        <v>-22.5</v>
      </c>
      <c r="AE212" s="186">
        <f t="shared" si="241"/>
        <v>-23.333352140938864</v>
      </c>
      <c r="AF212" s="40">
        <f t="shared" si="242"/>
        <v>0.81236806565700415</v>
      </c>
      <c r="AG212" s="13">
        <f t="shared" si="243"/>
        <v>68.105590100600793</v>
      </c>
      <c r="AH212" s="1132">
        <f t="shared" si="251"/>
        <v>1</v>
      </c>
      <c r="AI212" s="1132">
        <f t="shared" si="252"/>
        <v>1</v>
      </c>
      <c r="AJ212" s="187">
        <f t="shared" si="253"/>
        <v>0.81236806565700415</v>
      </c>
      <c r="AK212" s="1136">
        <f t="shared" si="244"/>
        <v>9.504674540796175E-2</v>
      </c>
      <c r="AR212" s="1132">
        <v>11</v>
      </c>
      <c r="AS212" s="44">
        <v>349</v>
      </c>
      <c r="AT212" s="1135">
        <f t="shared" si="216"/>
        <v>7.4847706596228747E-2</v>
      </c>
      <c r="AU212" s="1135">
        <f t="shared" si="214"/>
        <v>3.5846084864087649E-2</v>
      </c>
      <c r="AV212" s="1132">
        <f t="shared" si="217"/>
        <v>10.5</v>
      </c>
      <c r="AW212" s="1133">
        <f t="shared" si="254"/>
        <v>-22.5</v>
      </c>
      <c r="AX212" s="186">
        <f t="shared" si="245"/>
        <v>-23.333352140938864</v>
      </c>
      <c r="AY212" s="40">
        <f t="shared" si="246"/>
        <v>0.81236806565700415</v>
      </c>
      <c r="AZ212" s="13">
        <f t="shared" si="247"/>
        <v>68.105590100600793</v>
      </c>
      <c r="BA212" s="1132">
        <f t="shared" si="255"/>
        <v>1</v>
      </c>
      <c r="BB212" s="1132">
        <f t="shared" si="256"/>
        <v>1</v>
      </c>
      <c r="BC212" s="187">
        <f t="shared" si="257"/>
        <v>0.81236806565700415</v>
      </c>
      <c r="BD212" s="1136">
        <f t="shared" si="248"/>
        <v>9.504674540796175E-2</v>
      </c>
      <c r="BG212" s="1132"/>
      <c r="BH212" s="1132"/>
      <c r="BI212" s="1132"/>
    </row>
    <row r="213" spans="1:61" x14ac:dyDescent="0.2">
      <c r="A213" s="1135">
        <v>8.5902006041190693E-2</v>
      </c>
      <c r="B213" s="1135">
        <v>3.8920647944476285E-2</v>
      </c>
      <c r="C213" s="1135"/>
      <c r="D213" s="1135">
        <v>8.241720566427066E-2</v>
      </c>
      <c r="E213" s="187">
        <v>4.1761920905417756E-2</v>
      </c>
      <c r="F213" s="187"/>
      <c r="G213" s="187">
        <v>8.0922587452990316E-2</v>
      </c>
      <c r="H213" s="187">
        <v>3.8412956402080464E-2</v>
      </c>
      <c r="I213" s="187"/>
      <c r="J213" s="187">
        <v>6.3266423546184294E-2</v>
      </c>
      <c r="K213" s="187">
        <v>5.0797028833538219E-2</v>
      </c>
      <c r="L213" s="187"/>
      <c r="M213" s="187">
        <v>7.9831936415745153E-2</v>
      </c>
      <c r="N213" s="187">
        <v>3.7670271536493979E-2</v>
      </c>
      <c r="O213" s="187"/>
      <c r="P213" s="187">
        <v>5.8938696759591715E-2</v>
      </c>
      <c r="Q213" s="187">
        <v>5.1671651659983289E-2</v>
      </c>
      <c r="R213" s="187"/>
      <c r="S213" s="187">
        <v>6.5112070272680567E-2</v>
      </c>
      <c r="T213" s="187">
        <v>4.4421420389248414E-2</v>
      </c>
      <c r="U213" s="187"/>
      <c r="V213" s="1138">
        <f t="shared" si="238"/>
        <v>8.0922587452990316E-2</v>
      </c>
      <c r="W213" s="1138">
        <f t="shared" si="239"/>
        <v>3.8412956402080464E-2</v>
      </c>
      <c r="Y213" s="1132">
        <v>12</v>
      </c>
      <c r="Z213" s="44">
        <v>349</v>
      </c>
      <c r="AA213" s="1135">
        <f t="shared" si="249"/>
        <v>8.0922587452990316E-2</v>
      </c>
      <c r="AB213" s="1135">
        <f t="shared" si="240"/>
        <v>3.8412956402080464E-2</v>
      </c>
      <c r="AC213" s="1132">
        <f t="shared" si="215"/>
        <v>11.5</v>
      </c>
      <c r="AD213" s="1133">
        <f t="shared" si="250"/>
        <v>-7.5</v>
      </c>
      <c r="AE213" s="186">
        <f t="shared" si="241"/>
        <v>-23.333352140938864</v>
      </c>
      <c r="AF213" s="40">
        <f t="shared" si="242"/>
        <v>0.85816728569207024</v>
      </c>
      <c r="AG213" s="13">
        <f t="shared" si="243"/>
        <v>78.502353541850908</v>
      </c>
      <c r="AH213" s="1132">
        <f t="shared" si="251"/>
        <v>1</v>
      </c>
      <c r="AI213" s="1132">
        <f t="shared" si="252"/>
        <v>1</v>
      </c>
      <c r="AJ213" s="187">
        <f t="shared" si="253"/>
        <v>0.85816728569207024</v>
      </c>
      <c r="AK213" s="1136">
        <f t="shared" si="244"/>
        <v>0.10615677307201735</v>
      </c>
      <c r="AR213" s="1132">
        <v>12</v>
      </c>
      <c r="AS213" s="44">
        <v>349</v>
      </c>
      <c r="AT213" s="1135">
        <f t="shared" si="216"/>
        <v>8.0922587452990316E-2</v>
      </c>
      <c r="AU213" s="1135">
        <f t="shared" si="214"/>
        <v>3.8412956402080464E-2</v>
      </c>
      <c r="AV213" s="1132">
        <f t="shared" si="217"/>
        <v>11.5</v>
      </c>
      <c r="AW213" s="1133">
        <f t="shared" si="254"/>
        <v>-7.5</v>
      </c>
      <c r="AX213" s="186">
        <f t="shared" si="245"/>
        <v>-23.333352140938864</v>
      </c>
      <c r="AY213" s="40">
        <f t="shared" si="246"/>
        <v>0.85816728569207024</v>
      </c>
      <c r="AZ213" s="13">
        <f t="shared" si="247"/>
        <v>78.502353541850908</v>
      </c>
      <c r="BA213" s="1132">
        <f t="shared" si="255"/>
        <v>1</v>
      </c>
      <c r="BB213" s="1132">
        <f t="shared" si="256"/>
        <v>1</v>
      </c>
      <c r="BC213" s="187">
        <f t="shared" si="257"/>
        <v>0.85816728569207024</v>
      </c>
      <c r="BD213" s="1136">
        <f t="shared" si="248"/>
        <v>0.10615677307201735</v>
      </c>
      <c r="BG213" s="1132"/>
      <c r="BH213" s="1132"/>
      <c r="BI213" s="1132"/>
    </row>
    <row r="214" spans="1:61" x14ac:dyDescent="0.2">
      <c r="A214" s="1135">
        <v>8.5902006041190693E-2</v>
      </c>
      <c r="B214" s="1135">
        <v>3.8920647944476285E-2</v>
      </c>
      <c r="C214" s="1135"/>
      <c r="D214" s="1135">
        <v>8.241720566427066E-2</v>
      </c>
      <c r="E214" s="187">
        <v>4.1761920905417756E-2</v>
      </c>
      <c r="F214" s="187"/>
      <c r="G214" s="187">
        <v>8.0922587452990316E-2</v>
      </c>
      <c r="H214" s="187">
        <v>3.8412956402080464E-2</v>
      </c>
      <c r="I214" s="187"/>
      <c r="J214" s="187">
        <v>6.3266423546184294E-2</v>
      </c>
      <c r="K214" s="187">
        <v>5.0797028833538219E-2</v>
      </c>
      <c r="L214" s="187"/>
      <c r="M214" s="187">
        <v>7.9831936415745153E-2</v>
      </c>
      <c r="N214" s="187">
        <v>3.7670271536493979E-2</v>
      </c>
      <c r="O214" s="187"/>
      <c r="P214" s="187">
        <v>5.8938696759591715E-2</v>
      </c>
      <c r="Q214" s="187">
        <v>5.1671651659983289E-2</v>
      </c>
      <c r="R214" s="187"/>
      <c r="S214" s="187">
        <v>6.5112070272680567E-2</v>
      </c>
      <c r="T214" s="187">
        <v>4.4421420389248414E-2</v>
      </c>
      <c r="U214" s="187"/>
      <c r="V214" s="1138">
        <f t="shared" si="238"/>
        <v>8.0922587452990316E-2</v>
      </c>
      <c r="W214" s="1138">
        <f t="shared" si="239"/>
        <v>3.8412956402080464E-2</v>
      </c>
      <c r="Y214" s="1132">
        <v>13</v>
      </c>
      <c r="Z214" s="44">
        <v>349</v>
      </c>
      <c r="AA214" s="1135">
        <f t="shared" si="249"/>
        <v>8.0922587452990316E-2</v>
      </c>
      <c r="AB214" s="1135">
        <f t="shared" si="240"/>
        <v>3.8412956402080464E-2</v>
      </c>
      <c r="AC214" s="1132">
        <f t="shared" si="215"/>
        <v>12.5</v>
      </c>
      <c r="AD214" s="1133">
        <f t="shared" si="250"/>
        <v>7.5</v>
      </c>
      <c r="AE214" s="186">
        <f t="shared" si="241"/>
        <v>-23.333352140938864</v>
      </c>
      <c r="AF214" s="40">
        <f t="shared" si="242"/>
        <v>0.88552103409077998</v>
      </c>
      <c r="AG214" s="13">
        <f t="shared" si="243"/>
        <v>78.502353541850908</v>
      </c>
      <c r="AH214" s="1132">
        <f t="shared" si="251"/>
        <v>1</v>
      </c>
      <c r="AI214" s="1132">
        <f t="shared" si="252"/>
        <v>1</v>
      </c>
      <c r="AJ214" s="187">
        <f t="shared" si="253"/>
        <v>0.88552103409077998</v>
      </c>
      <c r="AK214" s="1136">
        <f t="shared" si="244"/>
        <v>0.10837030916897902</v>
      </c>
      <c r="AR214" s="1132">
        <v>13</v>
      </c>
      <c r="AS214" s="44">
        <v>349</v>
      </c>
      <c r="AT214" s="1135">
        <f t="shared" si="216"/>
        <v>8.0922587452990316E-2</v>
      </c>
      <c r="AU214" s="1135">
        <f t="shared" si="214"/>
        <v>3.8412956402080464E-2</v>
      </c>
      <c r="AV214" s="1132">
        <f t="shared" si="217"/>
        <v>12.5</v>
      </c>
      <c r="AW214" s="1133">
        <f t="shared" si="254"/>
        <v>7.5</v>
      </c>
      <c r="AX214" s="186">
        <f t="shared" si="245"/>
        <v>-23.333352140938864</v>
      </c>
      <c r="AY214" s="40">
        <f t="shared" si="246"/>
        <v>0.88552103409077998</v>
      </c>
      <c r="AZ214" s="13">
        <f t="shared" si="247"/>
        <v>78.502353541850908</v>
      </c>
      <c r="BA214" s="1132">
        <f t="shared" si="255"/>
        <v>1</v>
      </c>
      <c r="BB214" s="1132">
        <f t="shared" si="256"/>
        <v>1</v>
      </c>
      <c r="BC214" s="187">
        <f t="shared" si="257"/>
        <v>0.88552103409077998</v>
      </c>
      <c r="BD214" s="1136">
        <f t="shared" si="248"/>
        <v>0.10837030916897902</v>
      </c>
      <c r="BG214" s="1132"/>
      <c r="BH214" s="1132"/>
      <c r="BI214" s="1132"/>
    </row>
    <row r="215" spans="1:61" x14ac:dyDescent="0.2">
      <c r="A215" s="1135">
        <v>8.0628940537825711E-2</v>
      </c>
      <c r="B215" s="1135">
        <v>3.7274267973686194E-2</v>
      </c>
      <c r="C215" s="1135"/>
      <c r="D215" s="1135">
        <v>7.1015407082915843E-2</v>
      </c>
      <c r="E215" s="187">
        <v>4.0554194121242823E-2</v>
      </c>
      <c r="F215" s="187"/>
      <c r="G215" s="187">
        <v>7.4847706596228747E-2</v>
      </c>
      <c r="H215" s="187">
        <v>3.5846084864087649E-2</v>
      </c>
      <c r="I215" s="187"/>
      <c r="J215" s="187">
        <v>6.2367635360600013E-2</v>
      </c>
      <c r="K215" s="187">
        <v>4.6961682696777779E-2</v>
      </c>
      <c r="L215" s="187"/>
      <c r="M215" s="187">
        <v>7.5245056204985006E-2</v>
      </c>
      <c r="N215" s="187">
        <v>3.441459060318694E-2</v>
      </c>
      <c r="O215" s="187"/>
      <c r="P215" s="187">
        <v>6.1816338946245171E-2</v>
      </c>
      <c r="Q215" s="187">
        <v>4.9786509479167185E-2</v>
      </c>
      <c r="R215" s="187"/>
      <c r="S215" s="187">
        <v>5.4318527710015677E-2</v>
      </c>
      <c r="T215" s="187">
        <v>4.1227766659135974E-2</v>
      </c>
      <c r="U215" s="187"/>
      <c r="V215" s="1138">
        <f t="shared" si="238"/>
        <v>7.4847706596228747E-2</v>
      </c>
      <c r="W215" s="1138">
        <f t="shared" si="239"/>
        <v>3.5846084864087649E-2</v>
      </c>
      <c r="Y215" s="1132">
        <v>14</v>
      </c>
      <c r="Z215" s="44">
        <v>349</v>
      </c>
      <c r="AA215" s="1135">
        <f t="shared" si="249"/>
        <v>7.4847706596228747E-2</v>
      </c>
      <c r="AB215" s="1135">
        <f t="shared" si="240"/>
        <v>3.5846084864087649E-2</v>
      </c>
      <c r="AC215" s="1132">
        <f t="shared" si="215"/>
        <v>13.5</v>
      </c>
      <c r="AD215" s="1133">
        <f t="shared" si="250"/>
        <v>22.5</v>
      </c>
      <c r="AE215" s="186">
        <f t="shared" si="241"/>
        <v>-23.333352140938864</v>
      </c>
      <c r="AF215" s="40">
        <f t="shared" si="242"/>
        <v>0.8970654026896494</v>
      </c>
      <c r="AG215" s="13">
        <f t="shared" si="243"/>
        <v>68.105590100600793</v>
      </c>
      <c r="AH215" s="1132">
        <f t="shared" si="251"/>
        <v>1</v>
      </c>
      <c r="AI215" s="1132">
        <f t="shared" si="252"/>
        <v>1</v>
      </c>
      <c r="AJ215" s="187">
        <f t="shared" si="253"/>
        <v>0.8970654026896494</v>
      </c>
      <c r="AK215" s="1136">
        <f t="shared" si="244"/>
        <v>0.10138614683966307</v>
      </c>
      <c r="AR215" s="1132">
        <v>14</v>
      </c>
      <c r="AS215" s="44">
        <v>349</v>
      </c>
      <c r="AT215" s="1135">
        <f t="shared" si="216"/>
        <v>7.4847706596228747E-2</v>
      </c>
      <c r="AU215" s="1135">
        <f t="shared" si="214"/>
        <v>3.5846084864087649E-2</v>
      </c>
      <c r="AV215" s="1132">
        <f t="shared" si="217"/>
        <v>13.5</v>
      </c>
      <c r="AW215" s="1133">
        <f t="shared" si="254"/>
        <v>22.5</v>
      </c>
      <c r="AX215" s="186">
        <f t="shared" si="245"/>
        <v>-23.333352140938864</v>
      </c>
      <c r="AY215" s="40">
        <f t="shared" si="246"/>
        <v>0.8970654026896494</v>
      </c>
      <c r="AZ215" s="13">
        <f t="shared" si="247"/>
        <v>68.105590100600793</v>
      </c>
      <c r="BA215" s="1132">
        <f t="shared" si="255"/>
        <v>1</v>
      </c>
      <c r="BB215" s="1132">
        <f t="shared" si="256"/>
        <v>1</v>
      </c>
      <c r="BC215" s="187">
        <f t="shared" si="257"/>
        <v>0.8970654026896494</v>
      </c>
      <c r="BD215" s="1136">
        <f t="shared" si="248"/>
        <v>0.10138614683966307</v>
      </c>
      <c r="BG215" s="1132"/>
      <c r="BH215" s="1132"/>
      <c r="BI215" s="1132"/>
    </row>
    <row r="216" spans="1:61" x14ac:dyDescent="0.2">
      <c r="A216" s="1135">
        <v>6.541278264775488E-2</v>
      </c>
      <c r="B216" s="1135">
        <v>3.3484142067459928E-2</v>
      </c>
      <c r="C216" s="1135"/>
      <c r="D216" s="1135">
        <v>5.6381771450693396E-2</v>
      </c>
      <c r="E216" s="187">
        <v>3.8249021248467574E-2</v>
      </c>
      <c r="F216" s="187"/>
      <c r="G216" s="187">
        <v>6.4038066942744859E-2</v>
      </c>
      <c r="H216" s="187">
        <v>3.5039395337708251E-2</v>
      </c>
      <c r="I216" s="187"/>
      <c r="J216" s="187">
        <v>5.2602353378720386E-2</v>
      </c>
      <c r="K216" s="187">
        <v>4.2341188259966744E-2</v>
      </c>
      <c r="L216" s="187"/>
      <c r="M216" s="187">
        <v>6.2091740137576332E-2</v>
      </c>
      <c r="N216" s="187">
        <v>3.2688103776574481E-2</v>
      </c>
      <c r="O216" s="187"/>
      <c r="P216" s="187">
        <v>5.2389759713200673E-2</v>
      </c>
      <c r="Q216" s="187">
        <v>4.6037933341634668E-2</v>
      </c>
      <c r="R216" s="187"/>
      <c r="S216" s="187">
        <v>5.011617797106438E-2</v>
      </c>
      <c r="T216" s="187">
        <v>4.0212467075771197E-2</v>
      </c>
      <c r="U216" s="187"/>
      <c r="V216" s="1138">
        <f t="shared" si="238"/>
        <v>6.4038066942744859E-2</v>
      </c>
      <c r="W216" s="1138">
        <f t="shared" si="239"/>
        <v>3.5039395337708251E-2</v>
      </c>
      <c r="Y216" s="1132">
        <v>15</v>
      </c>
      <c r="Z216" s="44">
        <v>349</v>
      </c>
      <c r="AA216" s="1135">
        <f t="shared" si="249"/>
        <v>6.4038066942744859E-2</v>
      </c>
      <c r="AB216" s="1135">
        <f t="shared" si="240"/>
        <v>3.5039395337708251E-2</v>
      </c>
      <c r="AC216" s="1132">
        <f t="shared" si="215"/>
        <v>14.5</v>
      </c>
      <c r="AD216" s="1133">
        <f t="shared" si="250"/>
        <v>37.5</v>
      </c>
      <c r="AE216" s="186">
        <f t="shared" si="241"/>
        <v>-23.333352140938864</v>
      </c>
      <c r="AF216" s="40">
        <f t="shared" si="242"/>
        <v>0.89108170558347044</v>
      </c>
      <c r="AG216" s="13">
        <f t="shared" si="243"/>
        <v>55.82062855346495</v>
      </c>
      <c r="AH216" s="1132">
        <f t="shared" si="251"/>
        <v>1</v>
      </c>
      <c r="AI216" s="1132">
        <f t="shared" si="252"/>
        <v>1</v>
      </c>
      <c r="AJ216" s="187">
        <f t="shared" si="253"/>
        <v>0.89108170558347044</v>
      </c>
      <c r="AK216" s="1136">
        <f t="shared" si="244"/>
        <v>9.0321938504259361E-2</v>
      </c>
      <c r="AR216" s="1132">
        <v>15</v>
      </c>
      <c r="AS216" s="44">
        <v>349</v>
      </c>
      <c r="AT216" s="1135">
        <f t="shared" si="216"/>
        <v>6.4038066942744859E-2</v>
      </c>
      <c r="AU216" s="1135">
        <f t="shared" si="214"/>
        <v>3.5039395337708251E-2</v>
      </c>
      <c r="AV216" s="1132">
        <f t="shared" si="217"/>
        <v>14.5</v>
      </c>
      <c r="AW216" s="1133">
        <f t="shared" si="254"/>
        <v>37.5</v>
      </c>
      <c r="AX216" s="186">
        <f t="shared" si="245"/>
        <v>-23.333352140938864</v>
      </c>
      <c r="AY216" s="40">
        <f t="shared" si="246"/>
        <v>0.89108170558347044</v>
      </c>
      <c r="AZ216" s="13">
        <f t="shared" si="247"/>
        <v>55.82062855346495</v>
      </c>
      <c r="BA216" s="1132">
        <f t="shared" si="255"/>
        <v>1</v>
      </c>
      <c r="BB216" s="1132">
        <f t="shared" si="256"/>
        <v>1</v>
      </c>
      <c r="BC216" s="187">
        <f t="shared" si="257"/>
        <v>0.89108170558347044</v>
      </c>
      <c r="BD216" s="1136">
        <f t="shared" si="248"/>
        <v>9.0321938504259361E-2</v>
      </c>
      <c r="BG216" s="1132"/>
      <c r="BH216" s="1132"/>
      <c r="BI216" s="1132"/>
    </row>
    <row r="217" spans="1:61" x14ac:dyDescent="0.2">
      <c r="A217" s="1135">
        <v>5.1437926216191615E-2</v>
      </c>
      <c r="B217" s="1135">
        <v>2.8320271641318936E-2</v>
      </c>
      <c r="C217" s="1135"/>
      <c r="D217" s="1135">
        <v>4.116839632854042E-2</v>
      </c>
      <c r="E217" s="187">
        <v>3.5154269228904515E-2</v>
      </c>
      <c r="F217" s="187"/>
      <c r="G217" s="187">
        <v>4.8993670649429645E-2</v>
      </c>
      <c r="H217" s="187">
        <v>2.9086608030885169E-2</v>
      </c>
      <c r="I217" s="187"/>
      <c r="J217" s="187">
        <v>4.1132473113836165E-2</v>
      </c>
      <c r="K217" s="187">
        <v>3.4355403576557149E-2</v>
      </c>
      <c r="L217" s="187"/>
      <c r="M217" s="187">
        <v>5.094786095417124E-2</v>
      </c>
      <c r="N217" s="187">
        <v>2.8482468928502633E-2</v>
      </c>
      <c r="O217" s="187"/>
      <c r="P217" s="187">
        <v>3.7442344927125878E-2</v>
      </c>
      <c r="Q217" s="187">
        <v>3.6659980530573469E-2</v>
      </c>
      <c r="R217" s="187"/>
      <c r="S217" s="187">
        <v>4.354314497729711E-2</v>
      </c>
      <c r="T217" s="187">
        <v>3.2363293304864135E-2</v>
      </c>
      <c r="U217" s="187"/>
      <c r="V217" s="1138">
        <f t="shared" si="238"/>
        <v>4.8993670649429645E-2</v>
      </c>
      <c r="W217" s="1138">
        <f t="shared" si="239"/>
        <v>2.9086608030885169E-2</v>
      </c>
      <c r="Y217" s="1132">
        <v>16</v>
      </c>
      <c r="Z217" s="44">
        <v>349</v>
      </c>
      <c r="AA217" s="1135">
        <f t="shared" si="249"/>
        <v>4.8993670649429645E-2</v>
      </c>
      <c r="AB217" s="1135">
        <f t="shared" si="240"/>
        <v>2.9086608030885169E-2</v>
      </c>
      <c r="AC217" s="1132">
        <f t="shared" si="215"/>
        <v>15.5</v>
      </c>
      <c r="AD217" s="1133">
        <f t="shared" si="250"/>
        <v>52.5</v>
      </c>
      <c r="AE217" s="186">
        <f t="shared" si="241"/>
        <v>-23.333352140938864</v>
      </c>
      <c r="AF217" s="40">
        <f t="shared" si="242"/>
        <v>0.85936563189888282</v>
      </c>
      <c r="AG217" s="13">
        <f t="shared" si="243"/>
        <v>43.236831700891408</v>
      </c>
      <c r="AH217" s="1132">
        <f t="shared" si="251"/>
        <v>1</v>
      </c>
      <c r="AI217" s="1132">
        <f t="shared" si="252"/>
        <v>1</v>
      </c>
      <c r="AJ217" s="187">
        <f t="shared" si="253"/>
        <v>0.85936563189888282</v>
      </c>
      <c r="AK217" s="1136">
        <f t="shared" si="244"/>
        <v>6.9614552101002355E-2</v>
      </c>
      <c r="AR217" s="1132">
        <v>16</v>
      </c>
      <c r="AS217" s="44">
        <v>349</v>
      </c>
      <c r="AT217" s="1135">
        <f t="shared" si="216"/>
        <v>4.8993670649429645E-2</v>
      </c>
      <c r="AU217" s="1135">
        <f t="shared" si="214"/>
        <v>2.9086608030885169E-2</v>
      </c>
      <c r="AV217" s="1132">
        <f t="shared" si="217"/>
        <v>15.5</v>
      </c>
      <c r="AW217" s="1133">
        <f t="shared" si="254"/>
        <v>52.5</v>
      </c>
      <c r="AX217" s="186">
        <f t="shared" si="245"/>
        <v>-23.333352140938864</v>
      </c>
      <c r="AY217" s="40">
        <f t="shared" si="246"/>
        <v>0.85936563189888282</v>
      </c>
      <c r="AZ217" s="13">
        <f t="shared" si="247"/>
        <v>43.236831700891408</v>
      </c>
      <c r="BA217" s="1132">
        <f t="shared" si="255"/>
        <v>1</v>
      </c>
      <c r="BB217" s="1132">
        <f t="shared" si="256"/>
        <v>1</v>
      </c>
      <c r="BC217" s="187">
        <f t="shared" si="257"/>
        <v>0.85936563189888282</v>
      </c>
      <c r="BD217" s="1136">
        <f t="shared" si="248"/>
        <v>6.9614552101002355E-2</v>
      </c>
      <c r="BG217" s="1132"/>
      <c r="BH217" s="1132"/>
      <c r="BI217" s="1132"/>
    </row>
    <row r="218" spans="1:61" x14ac:dyDescent="0.2">
      <c r="A218" s="1135">
        <v>3.2636309034872038E-2</v>
      </c>
      <c r="B218" s="1135">
        <v>2.0291152674608195E-2</v>
      </c>
      <c r="C218" s="1135"/>
      <c r="D218" s="1135">
        <v>2.9740559249619374E-2</v>
      </c>
      <c r="E218" s="187">
        <v>2.6583008500631854E-2</v>
      </c>
      <c r="F218" s="187"/>
      <c r="G218" s="187">
        <v>3.3905617159361828E-2</v>
      </c>
      <c r="H218" s="187">
        <v>2.3720167285762456E-2</v>
      </c>
      <c r="I218" s="187"/>
      <c r="J218" s="187">
        <v>3.0891969792452241E-2</v>
      </c>
      <c r="K218" s="187">
        <v>2.5228054588468656E-2</v>
      </c>
      <c r="L218" s="187"/>
      <c r="M218" s="187">
        <v>3.4132586403146675E-2</v>
      </c>
      <c r="N218" s="187">
        <v>2.1601522019971373E-2</v>
      </c>
      <c r="O218" s="187"/>
      <c r="P218" s="187">
        <v>2.8348335687288468E-2</v>
      </c>
      <c r="Q218" s="187">
        <v>2.8658329127431877E-2</v>
      </c>
      <c r="R218" s="187"/>
      <c r="S218" s="187">
        <v>3.4528440302559929E-2</v>
      </c>
      <c r="T218" s="187">
        <v>2.6446490529613134E-2</v>
      </c>
      <c r="U218" s="187"/>
      <c r="V218" s="1138">
        <f t="shared" si="238"/>
        <v>3.3905617159361828E-2</v>
      </c>
      <c r="W218" s="1138">
        <f t="shared" si="239"/>
        <v>2.3720167285762456E-2</v>
      </c>
      <c r="Y218" s="1132">
        <v>17</v>
      </c>
      <c r="Z218" s="44">
        <v>349</v>
      </c>
      <c r="AA218" s="1135">
        <f t="shared" si="249"/>
        <v>3.3905617159361828E-2</v>
      </c>
      <c r="AB218" s="1135">
        <f t="shared" si="240"/>
        <v>2.3720167285762456E-2</v>
      </c>
      <c r="AC218" s="1132">
        <f t="shared" si="215"/>
        <v>16.5</v>
      </c>
      <c r="AD218" s="1133">
        <f t="shared" si="250"/>
        <v>67.5</v>
      </c>
      <c r="AE218" s="186">
        <f t="shared" si="241"/>
        <v>-23.333352140938864</v>
      </c>
      <c r="AF218" s="40">
        <f t="shared" si="242"/>
        <v>0.77725145504700721</v>
      </c>
      <c r="AG218" s="13">
        <f t="shared" si="243"/>
        <v>30.714820250313231</v>
      </c>
      <c r="AH218" s="1132">
        <f t="shared" si="251"/>
        <v>1</v>
      </c>
      <c r="AI218" s="1132">
        <f t="shared" si="252"/>
        <v>1</v>
      </c>
      <c r="AJ218" s="187">
        <f t="shared" si="253"/>
        <v>0.77725145504700721</v>
      </c>
      <c r="AK218" s="1136">
        <f t="shared" si="244"/>
        <v>4.8647013868423392E-2</v>
      </c>
      <c r="AR218" s="1132">
        <v>17</v>
      </c>
      <c r="AS218" s="44">
        <v>349</v>
      </c>
      <c r="AT218" s="1135">
        <f t="shared" si="216"/>
        <v>3.3905617159361828E-2</v>
      </c>
      <c r="AU218" s="1135">
        <f t="shared" si="214"/>
        <v>2.3720167285762456E-2</v>
      </c>
      <c r="AV218" s="1132">
        <f t="shared" si="217"/>
        <v>16.5</v>
      </c>
      <c r="AW218" s="1133">
        <f t="shared" si="254"/>
        <v>67.5</v>
      </c>
      <c r="AX218" s="186">
        <f t="shared" si="245"/>
        <v>-23.333352140938864</v>
      </c>
      <c r="AY218" s="40">
        <f t="shared" si="246"/>
        <v>0.77725145504700721</v>
      </c>
      <c r="AZ218" s="13">
        <f t="shared" si="247"/>
        <v>30.714820250313231</v>
      </c>
      <c r="BA218" s="1132">
        <f t="shared" si="255"/>
        <v>1</v>
      </c>
      <c r="BB218" s="1132">
        <f t="shared" si="256"/>
        <v>1</v>
      </c>
      <c r="BC218" s="187">
        <f t="shared" si="257"/>
        <v>0.77725145504700721</v>
      </c>
      <c r="BD218" s="1136">
        <f t="shared" si="248"/>
        <v>4.8647013868423392E-2</v>
      </c>
      <c r="BG218" s="1132"/>
      <c r="BH218" s="1132"/>
      <c r="BI218" s="1132"/>
    </row>
    <row r="219" spans="1:61" x14ac:dyDescent="0.2">
      <c r="A219" s="1135">
        <v>1.0703998996337838E-2</v>
      </c>
      <c r="B219" s="1135">
        <v>1.3534202970644796E-2</v>
      </c>
      <c r="C219" s="1135"/>
      <c r="D219" s="1135">
        <v>1.2603307489509724E-2</v>
      </c>
      <c r="E219" s="187">
        <v>1.7498899050667621E-2</v>
      </c>
      <c r="F219" s="187"/>
      <c r="G219" s="187">
        <v>1.3032464862924044E-2</v>
      </c>
      <c r="H219" s="187">
        <v>1.5973706541643286E-2</v>
      </c>
      <c r="I219" s="187"/>
      <c r="J219" s="187">
        <v>1.7053731004060033E-2</v>
      </c>
      <c r="K219" s="187">
        <v>1.6020641135572392E-2</v>
      </c>
      <c r="L219" s="187"/>
      <c r="M219" s="187">
        <v>1.5817469801637507E-2</v>
      </c>
      <c r="N219" s="187">
        <v>1.6858596232367726E-2</v>
      </c>
      <c r="O219" s="187"/>
      <c r="P219" s="187">
        <v>1.4272198377729304E-2</v>
      </c>
      <c r="Q219" s="187">
        <v>2.0755007986432122E-2</v>
      </c>
      <c r="R219" s="187"/>
      <c r="S219" s="187">
        <v>1.6990997255268789E-2</v>
      </c>
      <c r="T219" s="187">
        <v>2.213683270461516E-2</v>
      </c>
      <c r="U219" s="187"/>
      <c r="V219" s="1138">
        <f t="shared" si="238"/>
        <v>1.3032464862924044E-2</v>
      </c>
      <c r="W219" s="1138">
        <f t="shared" si="239"/>
        <v>1.5973706541643286E-2</v>
      </c>
      <c r="Y219" s="1132">
        <v>18</v>
      </c>
      <c r="Z219" s="44">
        <v>349</v>
      </c>
      <c r="AA219" s="1135">
        <f t="shared" si="249"/>
        <v>1.3032464862924044E-2</v>
      </c>
      <c r="AB219" s="1135">
        <f t="shared" si="240"/>
        <v>1.5973706541643286E-2</v>
      </c>
      <c r="AC219" s="1132">
        <f t="shared" si="215"/>
        <v>17.5</v>
      </c>
      <c r="AD219" s="1133">
        <f t="shared" si="250"/>
        <v>82.5</v>
      </c>
      <c r="AE219" s="186">
        <f t="shared" si="241"/>
        <v>-23.333352140938864</v>
      </c>
      <c r="AF219" s="40">
        <f t="shared" si="242"/>
        <v>0.55372024689479282</v>
      </c>
      <c r="AG219" s="13">
        <f t="shared" si="243"/>
        <v>18.445751073618812</v>
      </c>
      <c r="AH219" s="1132">
        <f t="shared" si="251"/>
        <v>1</v>
      </c>
      <c r="AI219" s="1132">
        <f t="shared" si="252"/>
        <v>1</v>
      </c>
      <c r="AJ219" s="187">
        <f t="shared" si="253"/>
        <v>0.55372024689479282</v>
      </c>
      <c r="AK219" s="1136">
        <f t="shared" si="244"/>
        <v>2.2000261107831699E-2</v>
      </c>
      <c r="AR219" s="1132">
        <v>18</v>
      </c>
      <c r="AS219" s="44">
        <v>349</v>
      </c>
      <c r="AT219" s="1135">
        <f t="shared" si="216"/>
        <v>1.3032464862924044E-2</v>
      </c>
      <c r="AU219" s="1135">
        <f t="shared" si="214"/>
        <v>1.5973706541643286E-2</v>
      </c>
      <c r="AV219" s="1132">
        <f t="shared" si="217"/>
        <v>17.5</v>
      </c>
      <c r="AW219" s="1133">
        <f t="shared" si="254"/>
        <v>82.5</v>
      </c>
      <c r="AX219" s="186">
        <f t="shared" si="245"/>
        <v>-23.333352140938864</v>
      </c>
      <c r="AY219" s="40">
        <f t="shared" si="246"/>
        <v>0.55372024689479282</v>
      </c>
      <c r="AZ219" s="13">
        <f t="shared" si="247"/>
        <v>18.445751073618812</v>
      </c>
      <c r="BA219" s="1132">
        <f t="shared" si="255"/>
        <v>1</v>
      </c>
      <c r="BB219" s="1132">
        <f t="shared" si="256"/>
        <v>1</v>
      </c>
      <c r="BC219" s="187">
        <f t="shared" si="257"/>
        <v>0.55372024689479282</v>
      </c>
      <c r="BD219" s="1136">
        <f t="shared" si="248"/>
        <v>2.2000261107831699E-2</v>
      </c>
      <c r="BG219" s="1132"/>
      <c r="BH219" s="1132"/>
      <c r="BI219" s="1132"/>
    </row>
    <row r="220" spans="1:61" x14ac:dyDescent="0.2">
      <c r="A220" s="1135">
        <v>0</v>
      </c>
      <c r="B220" s="1135">
        <v>1.2913198487198413E-3</v>
      </c>
      <c r="C220" s="1135"/>
      <c r="D220" s="1135">
        <v>2.9706447996969467E-4</v>
      </c>
      <c r="E220" s="187">
        <v>6.1575933999252659E-3</v>
      </c>
      <c r="F220" s="187"/>
      <c r="G220" s="187">
        <v>3.6736791494220165E-4</v>
      </c>
      <c r="H220" s="187">
        <v>5.495284632585716E-3</v>
      </c>
      <c r="I220" s="187"/>
      <c r="J220" s="187">
        <v>5.9712594398586769E-3</v>
      </c>
      <c r="K220" s="187">
        <v>7.4821533725218815E-3</v>
      </c>
      <c r="L220" s="187"/>
      <c r="M220" s="187">
        <v>2.1316039063015253E-3</v>
      </c>
      <c r="N220" s="187">
        <v>7.9520901985411993E-3</v>
      </c>
      <c r="O220" s="187"/>
      <c r="P220" s="187">
        <v>2.4382677308759154E-3</v>
      </c>
      <c r="Q220" s="187">
        <v>1.0447734094693382E-2</v>
      </c>
      <c r="R220" s="187"/>
      <c r="S220" s="187">
        <v>8.1656577095297819E-3</v>
      </c>
      <c r="T220" s="187">
        <v>1.4040961933531257E-2</v>
      </c>
      <c r="U220" s="187"/>
      <c r="V220" s="1138">
        <f t="shared" si="238"/>
        <v>3.6736791494220165E-4</v>
      </c>
      <c r="W220" s="1138">
        <f t="shared" si="239"/>
        <v>5.495284632585716E-3</v>
      </c>
      <c r="Y220" s="1132">
        <v>19</v>
      </c>
      <c r="Z220" s="44">
        <v>349</v>
      </c>
      <c r="AA220" s="1135">
        <f t="shared" si="249"/>
        <v>3.6736791494220165E-4</v>
      </c>
      <c r="AB220" s="1135">
        <f t="shared" si="240"/>
        <v>5.495284632585716E-3</v>
      </c>
      <c r="AC220" s="1132">
        <f t="shared" si="215"/>
        <v>18.5</v>
      </c>
      <c r="AD220" s="1133">
        <f t="shared" si="250"/>
        <v>97.5</v>
      </c>
      <c r="AE220" s="186">
        <f t="shared" si="241"/>
        <v>-23.333352140938864</v>
      </c>
      <c r="AF220" s="40">
        <f t="shared" si="242"/>
        <v>-0.53339653406145482</v>
      </c>
      <c r="AG220" s="13">
        <f t="shared" si="243"/>
        <v>6.6142556566715101</v>
      </c>
      <c r="AH220" s="1132">
        <f t="shared" si="251"/>
        <v>1</v>
      </c>
      <c r="AI220" s="1132">
        <f t="shared" si="252"/>
        <v>0</v>
      </c>
      <c r="AJ220" s="187">
        <f t="shared" si="253"/>
        <v>0</v>
      </c>
      <c r="AK220" s="1136">
        <f t="shared" si="244"/>
        <v>4.9896898966441724E-3</v>
      </c>
      <c r="AR220" s="1132">
        <v>19</v>
      </c>
      <c r="AS220" s="44">
        <v>349</v>
      </c>
      <c r="AT220" s="1135">
        <f t="shared" si="216"/>
        <v>3.6736791494220165E-4</v>
      </c>
      <c r="AU220" s="1135">
        <f t="shared" si="214"/>
        <v>5.495284632585716E-3</v>
      </c>
      <c r="AV220" s="1132">
        <f t="shared" si="217"/>
        <v>18.5</v>
      </c>
      <c r="AW220" s="1133">
        <f t="shared" si="254"/>
        <v>97.5</v>
      </c>
      <c r="AX220" s="186">
        <f t="shared" si="245"/>
        <v>-23.333352140938864</v>
      </c>
      <c r="AY220" s="40">
        <f t="shared" si="246"/>
        <v>-0.53339653406145482</v>
      </c>
      <c r="AZ220" s="13">
        <f t="shared" si="247"/>
        <v>6.6142556566715101</v>
      </c>
      <c r="BA220" s="1132">
        <f t="shared" si="255"/>
        <v>1</v>
      </c>
      <c r="BB220" s="1132">
        <f t="shared" si="256"/>
        <v>0</v>
      </c>
      <c r="BC220" s="187">
        <f t="shared" si="257"/>
        <v>0</v>
      </c>
      <c r="BD220" s="1136">
        <f t="shared" si="248"/>
        <v>4.9896898966441724E-3</v>
      </c>
      <c r="BG220" s="1132"/>
      <c r="BH220" s="1132"/>
      <c r="BI220" s="1132"/>
    </row>
    <row r="221" spans="1:61" x14ac:dyDescent="0.2">
      <c r="A221" s="1135">
        <v>0</v>
      </c>
      <c r="B221" s="1135">
        <v>0</v>
      </c>
      <c r="C221" s="1135"/>
      <c r="D221" s="1135">
        <v>1.5316763274254192E-6</v>
      </c>
      <c r="E221" s="187">
        <v>6.8925434734143864E-6</v>
      </c>
      <c r="F221" s="187"/>
      <c r="G221" s="187">
        <v>7.2674732106251822E-7</v>
      </c>
      <c r="H221" s="187">
        <v>1.1627957137000292E-5</v>
      </c>
      <c r="I221" s="187"/>
      <c r="J221" s="187">
        <v>9.5302540367986919E-4</v>
      </c>
      <c r="K221" s="187">
        <v>2.5749764972054887E-3</v>
      </c>
      <c r="L221" s="187"/>
      <c r="M221" s="187">
        <v>2.8084372942049083E-6</v>
      </c>
      <c r="N221" s="187">
        <v>1.3129444350407944E-4</v>
      </c>
      <c r="O221" s="187"/>
      <c r="P221" s="187">
        <v>1.6498250315755842E-5</v>
      </c>
      <c r="Q221" s="187">
        <v>3.2041338771125809E-4</v>
      </c>
      <c r="R221" s="187"/>
      <c r="S221" s="187">
        <v>6.050525159401487E-4</v>
      </c>
      <c r="T221" s="187">
        <v>5.6551361346602446E-3</v>
      </c>
      <c r="U221" s="187"/>
      <c r="V221" s="1138">
        <f t="shared" si="238"/>
        <v>7.2674732106251822E-7</v>
      </c>
      <c r="W221" s="1138">
        <f t="shared" si="239"/>
        <v>1.1627957137000292E-5</v>
      </c>
      <c r="Y221" s="1132">
        <v>20</v>
      </c>
      <c r="Z221" s="44">
        <v>349</v>
      </c>
      <c r="AA221" s="1135">
        <f t="shared" si="249"/>
        <v>7.2674732106251822E-7</v>
      </c>
      <c r="AB221" s="1135">
        <f t="shared" si="240"/>
        <v>1.1627957137000292E-5</v>
      </c>
      <c r="AC221" s="1132">
        <f t="shared" si="215"/>
        <v>19.5</v>
      </c>
      <c r="AD221" s="1133">
        <f t="shared" si="250"/>
        <v>112.5</v>
      </c>
      <c r="AE221" s="186">
        <f t="shared" si="241"/>
        <v>-23.333352140938864</v>
      </c>
      <c r="AF221" s="40">
        <f t="shared" si="242"/>
        <v>3.7633304511918713</v>
      </c>
      <c r="AG221" s="13">
        <f t="shared" si="243"/>
        <v>-4.5419653324691653</v>
      </c>
      <c r="AH221" s="1132">
        <f t="shared" si="251"/>
        <v>0</v>
      </c>
      <c r="AI221" s="1132">
        <f t="shared" si="252"/>
        <v>1</v>
      </c>
      <c r="AJ221" s="187">
        <f t="shared" si="253"/>
        <v>0</v>
      </c>
      <c r="AK221" s="1136">
        <f t="shared" si="244"/>
        <v>1.0556941048928097E-5</v>
      </c>
      <c r="AR221" s="1132">
        <v>20</v>
      </c>
      <c r="AS221" s="44">
        <v>349</v>
      </c>
      <c r="AT221" s="1135">
        <f t="shared" si="216"/>
        <v>7.2674732106251822E-7</v>
      </c>
      <c r="AU221" s="1135">
        <f t="shared" si="214"/>
        <v>1.1627957137000292E-5</v>
      </c>
      <c r="AV221" s="1132">
        <f t="shared" si="217"/>
        <v>19.5</v>
      </c>
      <c r="AW221" s="1133">
        <f t="shared" si="254"/>
        <v>112.5</v>
      </c>
      <c r="AX221" s="186">
        <f t="shared" si="245"/>
        <v>-23.333352140938864</v>
      </c>
      <c r="AY221" s="40">
        <f t="shared" si="246"/>
        <v>3.7633304511918713</v>
      </c>
      <c r="AZ221" s="13">
        <f t="shared" si="247"/>
        <v>-4.5419653324691653</v>
      </c>
      <c r="BA221" s="1132">
        <f t="shared" si="255"/>
        <v>0</v>
      </c>
      <c r="BB221" s="1132">
        <f t="shared" si="256"/>
        <v>1</v>
      </c>
      <c r="BC221" s="187">
        <f t="shared" si="257"/>
        <v>0</v>
      </c>
      <c r="BD221" s="1136">
        <f t="shared" si="248"/>
        <v>1.0556941048928097E-5</v>
      </c>
      <c r="BG221" s="1132"/>
      <c r="BH221" s="1132"/>
      <c r="BI221" s="1132"/>
    </row>
    <row r="222" spans="1:61" x14ac:dyDescent="0.2">
      <c r="Y222" s="11"/>
      <c r="Z222" s="11"/>
      <c r="AA222" s="11"/>
      <c r="AF222" s="187"/>
      <c r="AK222" s="187">
        <f>SUM(AK206:AK221)</f>
        <v>0.84098901744701238</v>
      </c>
      <c r="AR222" s="11"/>
      <c r="AS222" s="11"/>
      <c r="AT222" s="11"/>
      <c r="AY222" s="187"/>
      <c r="BD222" s="187">
        <f>SUM(BD206:BD221)</f>
        <v>0.84098901744701238</v>
      </c>
      <c r="BG222" s="1132"/>
      <c r="BH222" s="1132"/>
      <c r="BI222" s="1132"/>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enableFormatConditionsCalculation="0">
    <tabColor indexed="63"/>
    <pageSetUpPr autoPageBreaks="0"/>
  </sheetPr>
  <dimension ref="A1:S219"/>
  <sheetViews>
    <sheetView showGridLines="0" showZeros="0" tabSelected="1" showOutlineSymbols="0" topLeftCell="A167" zoomScale="90" zoomScaleNormal="90" zoomScalePageLayoutView="180" workbookViewId="0">
      <selection activeCell="N158" sqref="N158"/>
    </sheetView>
  </sheetViews>
  <sheetFormatPr baseColWidth="10" defaultRowHeight="12.75" x14ac:dyDescent="0.2"/>
  <cols>
    <col min="1" max="1" width="2.42578125" style="11" customWidth="1"/>
    <col min="2" max="2" width="3.42578125" style="424" customWidth="1"/>
    <col min="3" max="3" width="17.42578125" style="1" customWidth="1"/>
    <col min="4" max="4" width="8" style="1" customWidth="1"/>
    <col min="5" max="5" width="2.42578125" style="1" customWidth="1"/>
    <col min="6" max="6" width="8.42578125" style="1" customWidth="1"/>
    <col min="7" max="7" width="2.42578125" style="1" customWidth="1"/>
    <col min="8" max="8" width="8.42578125" style="1" customWidth="1"/>
    <col min="9" max="11" width="8.5703125" style="1" customWidth="1"/>
    <col min="12" max="12" width="18.5703125" style="1" customWidth="1"/>
    <col min="13" max="13" width="2.140625" style="1" customWidth="1"/>
    <col min="14" max="14" width="9.140625" style="508" customWidth="1"/>
    <col min="15" max="15" width="9.42578125" style="505" customWidth="1"/>
    <col min="16" max="16" width="2.5703125" customWidth="1"/>
  </cols>
  <sheetData>
    <row r="1" spans="1:16" s="11" customFormat="1" ht="41.25" customHeight="1" x14ac:dyDescent="0.2">
      <c r="B1" s="477"/>
      <c r="C1" s="45" t="s">
        <v>244</v>
      </c>
      <c r="D1" s="12"/>
      <c r="E1" s="12"/>
      <c r="F1" s="12"/>
      <c r="G1" s="12"/>
      <c r="H1" s="12"/>
      <c r="I1" s="12"/>
      <c r="J1" s="12"/>
      <c r="K1" s="12"/>
      <c r="L1" s="12"/>
      <c r="M1" s="12"/>
      <c r="N1" s="532"/>
      <c r="O1" s="507"/>
    </row>
    <row r="2" spans="1:16" s="11" customFormat="1" ht="18.75" customHeight="1" x14ac:dyDescent="0.2">
      <c r="B2" s="477"/>
      <c r="C2" s="45"/>
      <c r="D2" s="12"/>
      <c r="E2" s="12"/>
      <c r="F2" s="12"/>
      <c r="G2" s="12"/>
      <c r="H2" s="12"/>
      <c r="I2" s="12"/>
      <c r="J2" s="12"/>
      <c r="K2" s="12"/>
      <c r="L2" s="12"/>
      <c r="M2" s="12"/>
      <c r="N2" s="532"/>
      <c r="O2" s="507"/>
    </row>
    <row r="3" spans="1:16" s="11" customFormat="1" ht="18.75" customHeight="1" x14ac:dyDescent="0.25">
      <c r="B3" s="424"/>
      <c r="C3" s="835" t="s">
        <v>835</v>
      </c>
      <c r="D3" s="836"/>
      <c r="E3" s="837"/>
      <c r="F3" s="472"/>
      <c r="G3" s="471"/>
      <c r="H3" s="472"/>
      <c r="I3" s="471"/>
      <c r="J3" s="471"/>
      <c r="K3" s="471"/>
      <c r="L3" s="471"/>
      <c r="M3" s="471"/>
      <c r="N3" s="533"/>
      <c r="O3" s="542"/>
      <c r="P3" s="473"/>
    </row>
    <row r="4" spans="1:16" s="11" customFormat="1" ht="3.75" customHeight="1" x14ac:dyDescent="0.25">
      <c r="B4" s="477"/>
      <c r="C4" s="838"/>
      <c r="D4" s="839"/>
      <c r="E4" s="840"/>
      <c r="F4" s="464"/>
      <c r="G4" s="89"/>
      <c r="H4" s="464"/>
      <c r="I4" s="89"/>
      <c r="J4" s="89"/>
      <c r="K4" s="89"/>
      <c r="L4" s="89"/>
      <c r="M4" s="89"/>
      <c r="N4" s="515"/>
      <c r="O4" s="516"/>
      <c r="P4" s="469"/>
    </row>
    <row r="5" spans="1:16" s="11" customFormat="1" ht="15" customHeight="1" x14ac:dyDescent="0.2">
      <c r="B5" s="478"/>
      <c r="C5" s="841" t="s">
        <v>836</v>
      </c>
      <c r="D5" s="842"/>
      <c r="E5" s="842"/>
      <c r="F5" s="583"/>
      <c r="G5" s="583"/>
      <c r="H5" s="583"/>
      <c r="I5" s="583"/>
      <c r="J5" s="583"/>
      <c r="K5" s="583"/>
      <c r="L5" s="583"/>
      <c r="M5" s="583"/>
      <c r="N5" s="584"/>
      <c r="O5" s="585"/>
      <c r="P5" s="481"/>
    </row>
    <row r="6" spans="1:16" s="11" customFormat="1" ht="6" customHeight="1" x14ac:dyDescent="0.2">
      <c r="B6" s="477"/>
      <c r="C6" s="843"/>
      <c r="D6" s="832"/>
      <c r="E6" s="832"/>
      <c r="F6" s="3"/>
      <c r="G6" s="3"/>
      <c r="H6" s="3"/>
      <c r="I6" s="3"/>
      <c r="J6" s="3"/>
      <c r="K6" s="3"/>
      <c r="L6" s="3"/>
      <c r="M6" s="3"/>
      <c r="N6" s="500"/>
      <c r="O6" s="475"/>
      <c r="P6" s="469"/>
    </row>
    <row r="7" spans="1:16" s="11" customFormat="1" ht="18.75" customHeight="1" x14ac:dyDescent="0.2">
      <c r="B7" s="482">
        <v>1</v>
      </c>
      <c r="C7" s="1098" t="s">
        <v>1133</v>
      </c>
      <c r="D7" s="910"/>
      <c r="E7" s="832"/>
      <c r="F7" s="3"/>
      <c r="G7" s="3"/>
      <c r="H7" s="3"/>
      <c r="I7" s="3"/>
      <c r="J7" s="3"/>
      <c r="K7" s="3"/>
      <c r="L7" s="3"/>
      <c r="M7" s="3"/>
      <c r="N7" s="500"/>
      <c r="O7" s="475"/>
      <c r="P7" s="469"/>
    </row>
    <row r="8" spans="1:16" s="11" customFormat="1" ht="18.75" customHeight="1" x14ac:dyDescent="0.2">
      <c r="B8" s="482">
        <v>2</v>
      </c>
      <c r="C8" s="1229" t="s">
        <v>313</v>
      </c>
      <c r="D8" s="1230"/>
      <c r="E8" s="822"/>
      <c r="F8" s="24"/>
      <c r="G8" s="3"/>
      <c r="H8" s="24"/>
      <c r="I8" s="24"/>
      <c r="J8" s="24"/>
      <c r="K8" s="24"/>
      <c r="L8" s="24"/>
      <c r="M8" s="24"/>
      <c r="N8" s="499"/>
      <c r="O8" s="476"/>
      <c r="P8" s="469"/>
    </row>
    <row r="9" spans="1:16" s="11" customFormat="1" ht="3.75" customHeight="1" x14ac:dyDescent="0.2">
      <c r="B9" s="424"/>
      <c r="C9" s="1095"/>
      <c r="D9" s="1096"/>
      <c r="E9" s="822"/>
      <c r="F9" s="24"/>
      <c r="G9" s="3"/>
      <c r="H9" s="24"/>
      <c r="I9" s="24"/>
      <c r="J9" s="24"/>
      <c r="K9" s="24"/>
      <c r="L9" s="24"/>
      <c r="M9" s="24"/>
      <c r="N9" s="499"/>
      <c r="O9" s="476"/>
      <c r="P9" s="469"/>
    </row>
    <row r="10" spans="1:16" s="11" customFormat="1" ht="15.95" customHeight="1" x14ac:dyDescent="0.2">
      <c r="B10" s="424"/>
      <c r="C10" s="1095" t="s">
        <v>732</v>
      </c>
      <c r="D10" s="1096"/>
      <c r="E10" s="822"/>
      <c r="F10" s="1239" t="str">
        <f>'R6'!P4</f>
        <v>Huechuraba</v>
      </c>
      <c r="G10" s="1240"/>
      <c r="H10" s="1241"/>
      <c r="I10" s="24"/>
      <c r="J10" s="24"/>
      <c r="K10" s="24"/>
      <c r="L10" s="24"/>
      <c r="M10" s="24"/>
      <c r="N10" s="499"/>
      <c r="O10" s="476"/>
      <c r="P10" s="469"/>
    </row>
    <row r="11" spans="1:16" s="11" customFormat="1" ht="15.95" customHeight="1" x14ac:dyDescent="0.2">
      <c r="B11" s="424"/>
      <c r="C11" s="1095" t="s">
        <v>1131</v>
      </c>
      <c r="D11" s="1096"/>
      <c r="E11" s="822"/>
      <c r="F11" s="1242" t="s">
        <v>1302</v>
      </c>
      <c r="G11" s="1243"/>
      <c r="H11" s="1244"/>
      <c r="I11" s="24"/>
      <c r="J11" s="24"/>
      <c r="K11" s="24"/>
      <c r="L11" s="24"/>
      <c r="M11" s="24"/>
      <c r="N11" s="499"/>
      <c r="O11" s="476"/>
      <c r="P11" s="469"/>
    </row>
    <row r="12" spans="1:16" s="11" customFormat="1" ht="9.75" customHeight="1" x14ac:dyDescent="0.2">
      <c r="B12" s="424"/>
      <c r="C12" s="1095"/>
      <c r="D12" s="1096"/>
      <c r="E12" s="822"/>
      <c r="F12" s="24"/>
      <c r="G12" s="3"/>
      <c r="H12" s="24"/>
      <c r="I12" s="24"/>
      <c r="J12" s="24"/>
      <c r="K12" s="24"/>
      <c r="L12" s="24"/>
      <c r="M12" s="24"/>
      <c r="N12" s="499"/>
      <c r="O12" s="476"/>
      <c r="P12" s="469"/>
    </row>
    <row r="13" spans="1:16" s="11" customFormat="1" ht="15.95" customHeight="1" x14ac:dyDescent="0.2">
      <c r="B13" s="482">
        <v>3</v>
      </c>
      <c r="C13" s="1095" t="s">
        <v>1132</v>
      </c>
      <c r="D13" s="1096"/>
      <c r="E13" s="822"/>
      <c r="F13" s="822"/>
      <c r="G13" s="1231"/>
      <c r="H13" s="1231"/>
      <c r="I13" s="1231"/>
      <c r="J13" s="1231"/>
      <c r="K13" s="1231"/>
      <c r="L13" s="1231"/>
      <c r="M13" s="1231"/>
      <c r="N13" s="1231"/>
      <c r="O13" s="1231"/>
      <c r="P13" s="469"/>
    </row>
    <row r="14" spans="1:16" s="11" customFormat="1" ht="15.95" customHeight="1" x14ac:dyDescent="0.2">
      <c r="B14" s="479">
        <v>4</v>
      </c>
      <c r="C14" s="1095" t="s">
        <v>410</v>
      </c>
      <c r="D14" s="1096"/>
      <c r="E14" s="822"/>
      <c r="F14" s="822"/>
      <c r="G14" s="1233"/>
      <c r="H14" s="1234"/>
      <c r="I14" s="1234"/>
      <c r="J14" s="1234"/>
      <c r="K14" s="1234"/>
      <c r="L14" s="1234"/>
      <c r="M14" s="1234"/>
      <c r="N14" s="1234"/>
      <c r="O14" s="1235"/>
      <c r="P14" s="469"/>
    </row>
    <row r="15" spans="1:16" s="11" customFormat="1" ht="15.95" customHeight="1" x14ac:dyDescent="0.2">
      <c r="B15" s="479">
        <v>5</v>
      </c>
      <c r="C15" s="1095" t="s">
        <v>245</v>
      </c>
      <c r="D15" s="1096"/>
      <c r="E15" s="822"/>
      <c r="F15" s="822"/>
      <c r="G15" s="1233"/>
      <c r="H15" s="1234"/>
      <c r="I15" s="1234"/>
      <c r="J15" s="1234"/>
      <c r="K15" s="1234"/>
      <c r="L15" s="1234"/>
      <c r="M15" s="1234"/>
      <c r="N15" s="1234"/>
      <c r="O15" s="1235"/>
      <c r="P15" s="469"/>
    </row>
    <row r="16" spans="1:16" s="11" customFormat="1" ht="18.75" customHeight="1" x14ac:dyDescent="0.2">
      <c r="A16" s="5"/>
      <c r="B16" s="479">
        <v>6</v>
      </c>
      <c r="C16" s="913" t="s">
        <v>864</v>
      </c>
      <c r="D16" s="1096"/>
      <c r="E16" s="822"/>
      <c r="F16" s="822"/>
      <c r="G16" s="373"/>
      <c r="H16" s="373"/>
      <c r="I16" s="373"/>
      <c r="J16" s="822"/>
      <c r="K16" s="822"/>
      <c r="L16" s="373"/>
      <c r="M16" s="373"/>
      <c r="N16" s="510"/>
      <c r="O16" s="509"/>
      <c r="P16" s="469"/>
    </row>
    <row r="17" spans="1:16" s="11" customFormat="1" ht="8.25" customHeight="1" x14ac:dyDescent="0.2">
      <c r="B17" s="424"/>
      <c r="C17" s="1095"/>
      <c r="D17" s="1096"/>
      <c r="E17" s="822"/>
      <c r="F17" s="822"/>
      <c r="G17" s="822"/>
      <c r="H17" s="822"/>
      <c r="I17" s="822"/>
      <c r="J17" s="822"/>
      <c r="K17" s="822"/>
      <c r="L17" s="822"/>
      <c r="M17" s="822"/>
      <c r="N17" s="823"/>
      <c r="O17" s="824"/>
      <c r="P17" s="469"/>
    </row>
    <row r="18" spans="1:16" s="11" customFormat="1" ht="15.95" customHeight="1" x14ac:dyDescent="0.2">
      <c r="A18" s="5"/>
      <c r="B18" s="479">
        <v>7</v>
      </c>
      <c r="C18" s="1095" t="s">
        <v>1140</v>
      </c>
      <c r="D18" s="1096"/>
      <c r="E18" s="822"/>
      <c r="F18" s="822"/>
      <c r="G18" s="1236"/>
      <c r="H18" s="1237"/>
      <c r="I18" s="1237"/>
      <c r="J18" s="1237"/>
      <c r="K18" s="1237"/>
      <c r="L18" s="1237"/>
      <c r="M18" s="1237"/>
      <c r="N18" s="1237"/>
      <c r="O18" s="1238"/>
      <c r="P18" s="469"/>
    </row>
    <row r="19" spans="1:16" s="11" customFormat="1" ht="15.95" customHeight="1" x14ac:dyDescent="0.2">
      <c r="A19" s="5"/>
      <c r="B19" s="479">
        <v>8</v>
      </c>
      <c r="C19" s="1095" t="s">
        <v>792</v>
      </c>
      <c r="D19" s="1096"/>
      <c r="E19" s="822"/>
      <c r="F19" s="822"/>
      <c r="G19" s="1232"/>
      <c r="H19" s="1232"/>
      <c r="I19" s="1232"/>
      <c r="J19" s="1232"/>
      <c r="K19" s="1232"/>
      <c r="L19" s="1232"/>
      <c r="M19" s="1232"/>
      <c r="N19" s="1232"/>
      <c r="O19" s="1232"/>
      <c r="P19" s="469"/>
    </row>
    <row r="20" spans="1:16" s="11" customFormat="1" ht="15.95" customHeight="1" x14ac:dyDescent="0.2">
      <c r="A20" s="5"/>
      <c r="B20" s="479">
        <v>9</v>
      </c>
      <c r="C20" s="1247" t="s">
        <v>1136</v>
      </c>
      <c r="D20" s="1248"/>
      <c r="E20" s="822"/>
      <c r="F20" s="822"/>
      <c r="G20" s="1249"/>
      <c r="H20" s="1250"/>
      <c r="I20" s="1250"/>
      <c r="J20" s="1250"/>
      <c r="K20" s="1250"/>
      <c r="L20" s="1250"/>
      <c r="M20" s="1250"/>
      <c r="N20" s="1250"/>
      <c r="O20" s="1251"/>
      <c r="P20" s="469"/>
    </row>
    <row r="21" spans="1:16" s="11" customFormat="1" ht="15" customHeight="1" x14ac:dyDescent="0.2">
      <c r="A21" s="5"/>
      <c r="B21" s="639"/>
      <c r="C21" s="1095" t="s">
        <v>1155</v>
      </c>
      <c r="D21" s="1096"/>
      <c r="E21" s="822"/>
      <c r="F21" s="822"/>
      <c r="G21" s="1272"/>
      <c r="H21" s="1273"/>
      <c r="I21" s="1273"/>
      <c r="J21" s="1273"/>
      <c r="K21" s="1273"/>
      <c r="L21" s="1273"/>
      <c r="M21" s="1273"/>
      <c r="N21" s="1273"/>
      <c r="O21" s="1274"/>
      <c r="P21" s="469"/>
    </row>
    <row r="22" spans="1:16" s="11" customFormat="1" ht="15.95" customHeight="1" x14ac:dyDescent="0.2">
      <c r="A22" s="5"/>
      <c r="B22" s="479">
        <v>10</v>
      </c>
      <c r="C22" s="913" t="s">
        <v>701</v>
      </c>
      <c r="D22" s="914"/>
      <c r="E22" s="832"/>
      <c r="F22" s="833"/>
      <c r="G22" s="1258"/>
      <c r="H22" s="1259"/>
      <c r="I22" s="1260"/>
      <c r="J22" s="832"/>
      <c r="K22" s="832"/>
      <c r="L22" s="832"/>
      <c r="M22" s="832"/>
      <c r="N22" s="845"/>
      <c r="O22" s="844"/>
      <c r="P22" s="469"/>
    </row>
    <row r="23" spans="1:16" s="11" customFormat="1" ht="15.95" customHeight="1" x14ac:dyDescent="0.2">
      <c r="A23" s="5"/>
      <c r="B23" s="479">
        <v>11</v>
      </c>
      <c r="C23" s="913" t="s">
        <v>1137</v>
      </c>
      <c r="D23" s="910"/>
      <c r="E23" s="834"/>
      <c r="F23" s="834"/>
      <c r="G23" s="1261"/>
      <c r="H23" s="1262"/>
      <c r="I23" s="1263"/>
      <c r="J23" s="822"/>
      <c r="K23" s="822"/>
      <c r="L23" s="822"/>
      <c r="M23" s="822"/>
      <c r="N23" s="823"/>
      <c r="O23" s="824"/>
      <c r="P23" s="469"/>
    </row>
    <row r="24" spans="1:16" s="11" customFormat="1" ht="15.95" customHeight="1" x14ac:dyDescent="0.2">
      <c r="A24" s="5"/>
      <c r="B24" s="479">
        <v>12</v>
      </c>
      <c r="C24" s="1245" t="s">
        <v>1138</v>
      </c>
      <c r="D24" s="1246"/>
      <c r="E24" s="834"/>
      <c r="F24" s="834"/>
      <c r="G24" s="1252"/>
      <c r="H24" s="1253"/>
      <c r="I24" s="1254"/>
      <c r="J24" s="846"/>
      <c r="K24" s="822"/>
      <c r="L24" s="822"/>
      <c r="M24" s="822"/>
      <c r="N24" s="823"/>
      <c r="O24" s="824"/>
      <c r="P24" s="469"/>
    </row>
    <row r="25" spans="1:16" s="11" customFormat="1" ht="15.95" customHeight="1" x14ac:dyDescent="0.2">
      <c r="B25" s="424"/>
      <c r="C25" s="1099"/>
      <c r="D25" s="1100"/>
      <c r="E25" s="834"/>
      <c r="F25" s="834"/>
      <c r="G25" s="227"/>
      <c r="H25" s="226"/>
      <c r="I25" s="24"/>
      <c r="J25" s="24"/>
      <c r="K25" s="24"/>
      <c r="L25" s="24"/>
      <c r="M25" s="24"/>
      <c r="N25" s="499"/>
      <c r="O25" s="476"/>
      <c r="P25" s="469"/>
    </row>
    <row r="26" spans="1:16" s="11" customFormat="1" ht="15.95" customHeight="1" x14ac:dyDescent="0.2">
      <c r="A26" s="5"/>
      <c r="B26" s="482">
        <v>13</v>
      </c>
      <c r="C26" s="913" t="s">
        <v>700</v>
      </c>
      <c r="D26" s="1100"/>
      <c r="E26" s="834"/>
      <c r="F26" s="834"/>
      <c r="G26" s="1242"/>
      <c r="H26" s="1243"/>
      <c r="I26" s="1243"/>
      <c r="J26" s="1243"/>
      <c r="K26" s="1244"/>
      <c r="L26" s="24"/>
      <c r="M26" s="24"/>
      <c r="N26" s="499"/>
      <c r="O26" s="476"/>
      <c r="P26" s="469"/>
    </row>
    <row r="27" spans="1:16" s="11" customFormat="1" ht="15" customHeight="1" x14ac:dyDescent="0.2">
      <c r="B27" s="424"/>
      <c r="C27" s="1101" t="s">
        <v>1156</v>
      </c>
      <c r="D27" s="1102"/>
      <c r="E27" s="5"/>
      <c r="F27" s="5"/>
      <c r="G27" s="1264"/>
      <c r="H27" s="1265"/>
      <c r="I27" s="1265"/>
      <c r="J27" s="1265"/>
      <c r="K27" s="1266"/>
      <c r="L27" s="24"/>
      <c r="M27" s="24"/>
      <c r="N27" s="499"/>
      <c r="O27" s="476"/>
      <c r="P27" s="469"/>
    </row>
    <row r="28" spans="1:16" s="11" customFormat="1" ht="15" customHeight="1" x14ac:dyDescent="0.2">
      <c r="B28" s="424"/>
      <c r="C28" s="1101"/>
      <c r="D28" s="1102"/>
      <c r="E28" s="5"/>
      <c r="F28" s="5"/>
      <c r="G28" s="1041"/>
      <c r="H28" s="1041"/>
      <c r="I28" s="1041"/>
      <c r="J28" s="1041"/>
      <c r="K28" s="1041"/>
      <c r="L28" s="1042"/>
      <c r="M28" s="1042"/>
      <c r="N28" s="499"/>
      <c r="O28" s="476"/>
      <c r="P28" s="469"/>
    </row>
    <row r="29" spans="1:16" s="11" customFormat="1" ht="18.75" customHeight="1" x14ac:dyDescent="0.2">
      <c r="B29" s="424"/>
      <c r="C29" s="847" t="s">
        <v>852</v>
      </c>
      <c r="D29" s="848"/>
      <c r="E29" s="849"/>
      <c r="F29" s="850"/>
      <c r="G29" s="849"/>
      <c r="H29" s="850"/>
      <c r="I29" s="849"/>
      <c r="J29" s="849"/>
      <c r="K29" s="849"/>
      <c r="L29" s="849"/>
      <c r="M29" s="849"/>
      <c r="N29" s="851"/>
      <c r="O29" s="852"/>
      <c r="P29" s="853"/>
    </row>
    <row r="30" spans="1:16" s="11" customFormat="1" ht="10.5" customHeight="1" x14ac:dyDescent="0.2">
      <c r="B30" s="477"/>
      <c r="C30" s="843"/>
      <c r="D30" s="832"/>
      <c r="E30" s="832"/>
      <c r="F30" s="832"/>
      <c r="G30" s="832"/>
      <c r="H30" s="832"/>
      <c r="I30" s="832"/>
      <c r="J30" s="832"/>
      <c r="K30" s="832"/>
      <c r="L30" s="832"/>
      <c r="M30" s="832"/>
      <c r="N30" s="845"/>
      <c r="O30" s="844"/>
      <c r="P30" s="854"/>
    </row>
    <row r="31" spans="1:16" s="11" customFormat="1" ht="36" customHeight="1" x14ac:dyDescent="0.2">
      <c r="B31" s="482">
        <v>14</v>
      </c>
      <c r="C31" s="915" t="s">
        <v>733</v>
      </c>
      <c r="D31" s="1267"/>
      <c r="E31" s="1268"/>
      <c r="F31" s="1268"/>
      <c r="G31" s="1268"/>
      <c r="H31" s="1268"/>
      <c r="I31" s="1268"/>
      <c r="J31" s="1268"/>
      <c r="K31" s="1268"/>
      <c r="L31" s="1268"/>
      <c r="M31" s="1268"/>
      <c r="N31" s="1268"/>
      <c r="O31" s="1269"/>
      <c r="P31" s="469"/>
    </row>
    <row r="32" spans="1:16" s="11" customFormat="1" ht="36" customHeight="1" x14ac:dyDescent="0.2">
      <c r="B32" s="482">
        <v>15</v>
      </c>
      <c r="C32" s="915" t="s">
        <v>734</v>
      </c>
      <c r="D32" s="1267"/>
      <c r="E32" s="1268"/>
      <c r="F32" s="1268"/>
      <c r="G32" s="1268"/>
      <c r="H32" s="1268"/>
      <c r="I32" s="1268"/>
      <c r="J32" s="1268"/>
      <c r="K32" s="1268"/>
      <c r="L32" s="1268"/>
      <c r="M32" s="1268"/>
      <c r="N32" s="1268"/>
      <c r="O32" s="1269"/>
      <c r="P32" s="469"/>
    </row>
    <row r="33" spans="1:18" s="11" customFormat="1" ht="36" customHeight="1" x14ac:dyDescent="0.2">
      <c r="B33" s="482">
        <v>16</v>
      </c>
      <c r="C33" s="915" t="s">
        <v>988</v>
      </c>
      <c r="D33" s="1267"/>
      <c r="E33" s="1270"/>
      <c r="F33" s="1270"/>
      <c r="G33" s="1270"/>
      <c r="H33" s="1270"/>
      <c r="I33" s="1270"/>
      <c r="J33" s="1270"/>
      <c r="K33" s="1270"/>
      <c r="L33" s="1270"/>
      <c r="M33" s="1270"/>
      <c r="N33" s="1270"/>
      <c r="O33" s="1271"/>
      <c r="P33" s="469" t="s">
        <v>431</v>
      </c>
    </row>
    <row r="34" spans="1:18" s="11" customFormat="1" ht="36" customHeight="1" x14ac:dyDescent="0.2">
      <c r="A34" s="5"/>
      <c r="B34" s="482">
        <v>17</v>
      </c>
      <c r="C34" s="915" t="s">
        <v>746</v>
      </c>
      <c r="D34" s="1255"/>
      <c r="E34" s="1256"/>
      <c r="F34" s="1256"/>
      <c r="G34" s="1256"/>
      <c r="H34" s="1256"/>
      <c r="I34" s="1256"/>
      <c r="J34" s="1256"/>
      <c r="K34" s="1256"/>
      <c r="L34" s="1256"/>
      <c r="M34" s="1256"/>
      <c r="N34" s="1256"/>
      <c r="O34" s="1257"/>
      <c r="P34" s="469"/>
    </row>
    <row r="35" spans="1:18" s="11" customFormat="1" ht="36" customHeight="1" x14ac:dyDescent="0.2">
      <c r="A35" s="5"/>
      <c r="B35" s="482">
        <v>18</v>
      </c>
      <c r="C35" s="915" t="s">
        <v>747</v>
      </c>
      <c r="D35" s="1267"/>
      <c r="E35" s="1270"/>
      <c r="F35" s="1270"/>
      <c r="G35" s="1270"/>
      <c r="H35" s="1270"/>
      <c r="I35" s="1270"/>
      <c r="J35" s="1270"/>
      <c r="K35" s="1270"/>
      <c r="L35" s="1270"/>
      <c r="M35" s="1270"/>
      <c r="N35" s="1270"/>
      <c r="O35" s="1271"/>
      <c r="P35" s="469"/>
    </row>
    <row r="36" spans="1:18" s="11" customFormat="1" ht="36" customHeight="1" x14ac:dyDescent="0.2">
      <c r="A36" s="5"/>
      <c r="B36" s="482">
        <v>19</v>
      </c>
      <c r="C36" s="915" t="s">
        <v>735</v>
      </c>
      <c r="D36" s="1255"/>
      <c r="E36" s="1256"/>
      <c r="F36" s="1256"/>
      <c r="G36" s="1256"/>
      <c r="H36" s="1256"/>
      <c r="I36" s="1256"/>
      <c r="J36" s="1256"/>
      <c r="K36" s="1256"/>
      <c r="L36" s="1256"/>
      <c r="M36" s="1256"/>
      <c r="N36" s="1256"/>
      <c r="O36" s="1257"/>
      <c r="P36" s="469"/>
    </row>
    <row r="37" spans="1:18" s="11" customFormat="1" ht="36" customHeight="1" x14ac:dyDescent="0.2">
      <c r="A37" s="5"/>
      <c r="B37" s="482">
        <v>20</v>
      </c>
      <c r="C37" s="915" t="s">
        <v>736</v>
      </c>
      <c r="D37" s="1267"/>
      <c r="E37" s="1270"/>
      <c r="F37" s="1270"/>
      <c r="G37" s="1270"/>
      <c r="H37" s="1270"/>
      <c r="I37" s="1270"/>
      <c r="J37" s="1270"/>
      <c r="K37" s="1270"/>
      <c r="L37" s="1270"/>
      <c r="M37" s="1270"/>
      <c r="N37" s="1270"/>
      <c r="O37" s="1271"/>
      <c r="P37" s="469"/>
    </row>
    <row r="38" spans="1:18" s="11" customFormat="1" ht="15.75" customHeight="1" x14ac:dyDescent="0.2">
      <c r="B38" s="478"/>
      <c r="C38" s="468"/>
      <c r="D38" s="5"/>
      <c r="E38" s="5"/>
      <c r="F38" s="5"/>
      <c r="G38" s="5"/>
      <c r="H38" s="5"/>
      <c r="I38" s="5"/>
      <c r="J38" s="5"/>
      <c r="K38" s="5"/>
      <c r="L38" s="5"/>
      <c r="M38" s="5"/>
      <c r="N38" s="534"/>
      <c r="O38" s="543"/>
      <c r="P38" s="469"/>
    </row>
    <row r="39" spans="1:18" s="11" customFormat="1" ht="15.75" customHeight="1" x14ac:dyDescent="0.2">
      <c r="B39" s="424"/>
      <c r="C39" s="480" t="s">
        <v>892</v>
      </c>
      <c r="D39" s="586"/>
      <c r="E39" s="586"/>
      <c r="F39" s="586"/>
      <c r="G39" s="586"/>
      <c r="H39" s="586"/>
      <c r="I39" s="586"/>
      <c r="J39" s="586"/>
      <c r="K39" s="586"/>
      <c r="L39" s="586"/>
      <c r="M39" s="586"/>
      <c r="N39" s="587"/>
      <c r="O39" s="588"/>
      <c r="P39" s="481"/>
    </row>
    <row r="40" spans="1:18" s="11" customFormat="1" ht="9.75" customHeight="1" x14ac:dyDescent="0.2">
      <c r="B40" s="424"/>
      <c r="C40" s="467"/>
      <c r="D40" s="403"/>
      <c r="E40" s="470"/>
      <c r="F40" s="404"/>
      <c r="G40" s="404"/>
      <c r="H40" s="404"/>
      <c r="I40" s="470"/>
      <c r="J40" s="470"/>
      <c r="K40" s="470"/>
      <c r="L40" s="470"/>
      <c r="M40" s="470"/>
      <c r="N40" s="535"/>
      <c r="O40" s="544"/>
      <c r="P40" s="469"/>
    </row>
    <row r="41" spans="1:18" s="11" customFormat="1" ht="40.5" customHeight="1" x14ac:dyDescent="0.2">
      <c r="B41" s="482">
        <v>21</v>
      </c>
      <c r="C41" s="915" t="s">
        <v>343</v>
      </c>
      <c r="D41" s="403"/>
      <c r="E41" s="1255"/>
      <c r="F41" s="1281"/>
      <c r="G41" s="1281"/>
      <c r="H41" s="1281"/>
      <c r="I41" s="1281"/>
      <c r="J41" s="1281"/>
      <c r="K41" s="1281"/>
      <c r="L41" s="1281"/>
      <c r="M41" s="1281"/>
      <c r="N41" s="1281"/>
      <c r="O41" s="1282"/>
      <c r="P41" s="469"/>
    </row>
    <row r="42" spans="1:18" s="11" customFormat="1" ht="40.5" customHeight="1" x14ac:dyDescent="0.2">
      <c r="B42" s="482">
        <v>22</v>
      </c>
      <c r="C42" s="915" t="s">
        <v>737</v>
      </c>
      <c r="D42" s="403"/>
      <c r="E42" s="1255"/>
      <c r="F42" s="1279"/>
      <c r="G42" s="1279"/>
      <c r="H42" s="1279"/>
      <c r="I42" s="1279"/>
      <c r="J42" s="1279"/>
      <c r="K42" s="1279"/>
      <c r="L42" s="1279"/>
      <c r="M42" s="1279"/>
      <c r="N42" s="1279"/>
      <c r="O42" s="1280"/>
      <c r="P42" s="469"/>
    </row>
    <row r="43" spans="1:18" s="11" customFormat="1" ht="6.75" customHeight="1" x14ac:dyDescent="0.2">
      <c r="B43" s="497"/>
      <c r="C43" s="855"/>
      <c r="D43" s="856"/>
      <c r="E43" s="857"/>
      <c r="F43" s="857"/>
      <c r="G43" s="857"/>
      <c r="H43" s="857"/>
      <c r="I43" s="857"/>
      <c r="J43" s="857"/>
      <c r="K43" s="857"/>
      <c r="L43" s="857"/>
      <c r="M43" s="857"/>
      <c r="N43" s="858"/>
      <c r="O43" s="859"/>
      <c r="P43" s="860"/>
    </row>
    <row r="44" spans="1:18" x14ac:dyDescent="0.2">
      <c r="C44" s="861"/>
      <c r="D44" s="861"/>
      <c r="E44" s="861"/>
      <c r="F44" s="861"/>
      <c r="G44" s="861"/>
      <c r="H44" s="861"/>
      <c r="I44" s="861"/>
      <c r="J44" s="861"/>
      <c r="K44" s="861"/>
      <c r="L44" s="861"/>
      <c r="M44" s="861"/>
      <c r="N44" s="862"/>
      <c r="O44" s="863"/>
      <c r="P44" s="14"/>
    </row>
    <row r="45" spans="1:18" ht="18" x14ac:dyDescent="0.25">
      <c r="C45" s="485" t="s">
        <v>853</v>
      </c>
      <c r="D45" s="486"/>
      <c r="E45" s="486"/>
      <c r="F45" s="486"/>
      <c r="G45" s="486"/>
      <c r="H45" s="486"/>
      <c r="I45" s="486"/>
      <c r="J45" s="486"/>
      <c r="K45" s="486"/>
      <c r="L45" s="486"/>
      <c r="M45" s="486"/>
      <c r="N45" s="536"/>
      <c r="O45" s="546"/>
      <c r="P45" s="519"/>
      <c r="Q45" s="11"/>
      <c r="R45" s="11"/>
    </row>
    <row r="46" spans="1:18" s="11" customFormat="1" ht="4.5" customHeight="1" x14ac:dyDescent="0.25">
      <c r="B46" s="477"/>
      <c r="C46" s="581"/>
      <c r="D46" s="589"/>
      <c r="E46" s="3"/>
      <c r="F46" s="589"/>
      <c r="G46" s="3"/>
      <c r="H46" s="589"/>
      <c r="I46" s="3"/>
      <c r="J46" s="3"/>
      <c r="K46" s="3"/>
      <c r="L46" s="3"/>
      <c r="M46" s="3"/>
      <c r="N46" s="500"/>
      <c r="O46" s="475"/>
      <c r="P46" s="469"/>
    </row>
    <row r="47" spans="1:18" s="232" customFormat="1" ht="24" x14ac:dyDescent="0.2">
      <c r="A47" s="491"/>
      <c r="B47" s="211"/>
      <c r="C47" s="492"/>
      <c r="D47" s="917" t="s">
        <v>260</v>
      </c>
      <c r="E47" s="918"/>
      <c r="F47" s="917" t="s">
        <v>264</v>
      </c>
      <c r="G47" s="918"/>
      <c r="H47" s="917" t="s">
        <v>263</v>
      </c>
      <c r="I47" s="493"/>
      <c r="J47" s="493"/>
      <c r="K47" s="493"/>
      <c r="L47" s="493"/>
      <c r="M47" s="493"/>
      <c r="N47" s="498"/>
      <c r="O47" s="545"/>
      <c r="P47" s="494"/>
      <c r="Q47" s="491"/>
      <c r="R47" s="491"/>
    </row>
    <row r="48" spans="1:18" s="11" customFormat="1" ht="3.75" customHeight="1" x14ac:dyDescent="0.2">
      <c r="B48" s="477"/>
      <c r="C48" s="487"/>
      <c r="D48" s="919"/>
      <c r="E48" s="919"/>
      <c r="F48" s="919"/>
      <c r="G48" s="919"/>
      <c r="H48" s="919"/>
      <c r="I48" s="227"/>
      <c r="J48" s="227"/>
      <c r="K48" s="227"/>
      <c r="L48" s="227"/>
      <c r="M48" s="227"/>
      <c r="N48" s="515"/>
      <c r="O48" s="516"/>
      <c r="P48" s="469"/>
    </row>
    <row r="49" spans="1:16" x14ac:dyDescent="0.2">
      <c r="B49" s="482">
        <v>23</v>
      </c>
      <c r="C49" s="551" t="s">
        <v>258</v>
      </c>
      <c r="D49" s="997">
        <v>69.05</v>
      </c>
      <c r="E49" s="921"/>
      <c r="F49" s="997">
        <v>2.35</v>
      </c>
      <c r="G49" s="922" t="s">
        <v>262</v>
      </c>
      <c r="H49" s="923">
        <f>D49*F49</f>
        <v>162.26750000000001</v>
      </c>
      <c r="I49" s="24"/>
      <c r="J49" s="24"/>
      <c r="K49" s="24"/>
      <c r="L49" s="24"/>
      <c r="M49" s="24"/>
      <c r="N49" s="499"/>
      <c r="O49" s="476"/>
      <c r="P49" s="495"/>
    </row>
    <row r="50" spans="1:16" x14ac:dyDescent="0.2">
      <c r="B50" s="482">
        <v>24</v>
      </c>
      <c r="C50" s="551" t="s">
        <v>259</v>
      </c>
      <c r="D50" s="920">
        <v>42</v>
      </c>
      <c r="E50" s="921"/>
      <c r="F50" s="920">
        <v>2.35</v>
      </c>
      <c r="G50" s="922" t="s">
        <v>262</v>
      </c>
      <c r="H50" s="923">
        <f>D50*F50</f>
        <v>98.7</v>
      </c>
      <c r="I50" s="24"/>
      <c r="J50" s="24"/>
      <c r="K50" s="24"/>
      <c r="L50" s="24"/>
      <c r="M50" s="24"/>
      <c r="N50" s="499"/>
      <c r="O50" s="476"/>
      <c r="P50" s="495"/>
    </row>
    <row r="51" spans="1:16" x14ac:dyDescent="0.2">
      <c r="B51" s="482">
        <v>25</v>
      </c>
      <c r="C51" s="551" t="s">
        <v>458</v>
      </c>
      <c r="D51" s="920">
        <v>0</v>
      </c>
      <c r="E51" s="921" t="s">
        <v>261</v>
      </c>
      <c r="F51" s="920">
        <v>0</v>
      </c>
      <c r="G51" s="922" t="s">
        <v>262</v>
      </c>
      <c r="H51" s="923">
        <f>D51*F51</f>
        <v>0</v>
      </c>
      <c r="I51" s="24"/>
      <c r="J51" s="24"/>
      <c r="K51" s="24"/>
      <c r="L51" s="24"/>
      <c r="M51" s="24"/>
      <c r="N51" s="499"/>
      <c r="O51" s="476"/>
      <c r="P51" s="495"/>
    </row>
    <row r="52" spans="1:16" x14ac:dyDescent="0.2">
      <c r="C52" s="551"/>
      <c r="D52" s="924"/>
      <c r="E52" s="534"/>
      <c r="F52" s="924"/>
      <c r="G52" s="922"/>
      <c r="H52" s="925"/>
      <c r="I52" s="24"/>
      <c r="J52" s="24"/>
      <c r="K52" s="24"/>
      <c r="L52" s="24"/>
      <c r="M52" s="24"/>
      <c r="N52" s="499"/>
      <c r="O52" s="476"/>
      <c r="P52" s="495"/>
    </row>
    <row r="53" spans="1:16" x14ac:dyDescent="0.2">
      <c r="A53" s="5"/>
      <c r="B53" s="479">
        <v>26</v>
      </c>
      <c r="C53" s="916" t="s">
        <v>823</v>
      </c>
      <c r="D53" s="926">
        <f>SUM(D49:D51)</f>
        <v>111.05</v>
      </c>
      <c r="E53" s="927"/>
      <c r="F53" s="927"/>
      <c r="G53" s="928"/>
      <c r="H53" s="929">
        <f>SUM(H49:H51)</f>
        <v>260.96750000000003</v>
      </c>
      <c r="I53" s="490"/>
      <c r="J53" s="490"/>
      <c r="K53" s="490"/>
      <c r="L53" s="490"/>
      <c r="M53" s="490"/>
      <c r="N53" s="502"/>
      <c r="O53" s="529"/>
      <c r="P53" s="496"/>
    </row>
    <row r="55" spans="1:16" ht="18" x14ac:dyDescent="0.25">
      <c r="C55" s="753" t="s">
        <v>854</v>
      </c>
      <c r="D55" s="754"/>
      <c r="E55" s="754"/>
      <c r="F55" s="754"/>
      <c r="G55" s="754"/>
      <c r="H55" s="754"/>
      <c r="I55" s="754"/>
      <c r="J55" s="754"/>
      <c r="K55" s="754"/>
      <c r="L55" s="754"/>
      <c r="M55" s="754"/>
      <c r="N55" s="755"/>
      <c r="O55" s="756"/>
      <c r="P55" s="473"/>
    </row>
    <row r="56" spans="1:16" ht="4.5" customHeight="1" x14ac:dyDescent="0.25">
      <c r="C56" s="512"/>
      <c r="D56" s="3"/>
      <c r="E56" s="3"/>
      <c r="F56" s="3"/>
      <c r="G56" s="3"/>
      <c r="H56" s="3"/>
      <c r="I56" s="3"/>
      <c r="J56" s="3"/>
      <c r="K56" s="3"/>
      <c r="L56" s="3"/>
      <c r="M56" s="3"/>
      <c r="N56" s="500"/>
      <c r="O56" s="475"/>
      <c r="P56" s="495"/>
    </row>
    <row r="57" spans="1:16" x14ac:dyDescent="0.2">
      <c r="C57" s="531" t="s">
        <v>855</v>
      </c>
      <c r="D57" s="530"/>
      <c r="E57" s="530"/>
      <c r="F57" s="530"/>
      <c r="G57" s="530"/>
      <c r="H57" s="530"/>
      <c r="I57" s="530"/>
      <c r="J57" s="530"/>
      <c r="K57" s="530"/>
      <c r="L57" s="530"/>
      <c r="M57" s="530"/>
      <c r="N57" s="538"/>
      <c r="O57" s="548"/>
      <c r="P57" s="481"/>
    </row>
    <row r="58" spans="1:16" ht="5.25" customHeight="1" x14ac:dyDescent="0.25">
      <c r="C58" s="512"/>
      <c r="D58" s="3"/>
      <c r="E58" s="3"/>
      <c r="F58" s="3"/>
      <c r="G58" s="3"/>
      <c r="H58" s="3"/>
      <c r="I58" s="3"/>
      <c r="J58" s="3"/>
      <c r="K58" s="3"/>
      <c r="L58" s="3"/>
      <c r="M58" s="3"/>
      <c r="N58" s="500"/>
      <c r="O58" s="475"/>
      <c r="P58" s="495"/>
    </row>
    <row r="59" spans="1:16" s="214" customFormat="1" ht="25.5" x14ac:dyDescent="0.2">
      <c r="A59" s="210"/>
      <c r="B59" s="503"/>
      <c r="C59" s="930"/>
      <c r="D59" s="917" t="s">
        <v>260</v>
      </c>
      <c r="E59" s="918"/>
      <c r="F59" s="917" t="s">
        <v>277</v>
      </c>
      <c r="G59" s="918"/>
      <c r="H59" s="917" t="s">
        <v>841</v>
      </c>
      <c r="I59" s="918"/>
      <c r="J59" s="931"/>
      <c r="K59" s="932"/>
      <c r="L59" s="932"/>
      <c r="M59" s="932"/>
      <c r="N59" s="918"/>
      <c r="O59" s="918"/>
      <c r="P59" s="933"/>
    </row>
    <row r="60" spans="1:16" s="11" customFormat="1" ht="5.25" customHeight="1" x14ac:dyDescent="0.2">
      <c r="B60" s="504"/>
      <c r="C60" s="934"/>
      <c r="D60" s="563"/>
      <c r="E60" s="563"/>
      <c r="F60" s="563"/>
      <c r="G60" s="563"/>
      <c r="H60" s="563"/>
      <c r="I60" s="935"/>
      <c r="J60" s="10"/>
      <c r="K60" s="936"/>
      <c r="L60" s="936"/>
      <c r="M60" s="936"/>
      <c r="N60" s="563"/>
      <c r="O60" s="935"/>
      <c r="P60" s="937"/>
    </row>
    <row r="61" spans="1:16" x14ac:dyDescent="0.2">
      <c r="B61" s="511">
        <v>27</v>
      </c>
      <c r="C61" s="551" t="s">
        <v>270</v>
      </c>
      <c r="D61" s="938">
        <v>3.1</v>
      </c>
      <c r="E61" s="939" t="s">
        <v>261</v>
      </c>
      <c r="F61" s="997">
        <v>2.21</v>
      </c>
      <c r="G61" s="940"/>
      <c r="H61" s="941">
        <f>'Vivienda Objeto'!J27</f>
        <v>0</v>
      </c>
      <c r="I61" s="527"/>
      <c r="J61" s="6"/>
      <c r="K61" s="648"/>
      <c r="L61" s="648"/>
      <c r="M61" s="648"/>
      <c r="N61" s="922"/>
      <c r="O61" s="527"/>
      <c r="P61" s="942"/>
    </row>
    <row r="62" spans="1:16" x14ac:dyDescent="0.2">
      <c r="B62" s="511">
        <v>28</v>
      </c>
      <c r="C62" s="551" t="s">
        <v>271</v>
      </c>
      <c r="D62" s="938">
        <v>23.57</v>
      </c>
      <c r="E62" s="939" t="s">
        <v>261</v>
      </c>
      <c r="F62" s="997">
        <v>5.8</v>
      </c>
      <c r="G62" s="940"/>
      <c r="H62" s="941">
        <f>'Vivienda Objeto'!J28</f>
        <v>0</v>
      </c>
      <c r="I62" s="527"/>
      <c r="J62" s="6"/>
      <c r="K62" s="648"/>
      <c r="L62" s="648"/>
      <c r="M62" s="648"/>
      <c r="N62" s="922"/>
      <c r="O62" s="527"/>
      <c r="P62" s="942"/>
    </row>
    <row r="63" spans="1:16" x14ac:dyDescent="0.2">
      <c r="B63" s="511">
        <v>29</v>
      </c>
      <c r="C63" s="551" t="s">
        <v>272</v>
      </c>
      <c r="D63" s="938"/>
      <c r="E63" s="939" t="s">
        <v>261</v>
      </c>
      <c r="F63" s="997"/>
      <c r="G63" s="940"/>
      <c r="H63" s="941">
        <f>'Vivienda Objeto'!J29</f>
        <v>0</v>
      </c>
      <c r="I63" s="527"/>
      <c r="J63" s="6" t="s">
        <v>949</v>
      </c>
      <c r="K63" s="943">
        <f>(D62+D63)/(D61+D62+D63+D66+D67+D68+0.00000000001)</f>
        <v>0.15481116584563842</v>
      </c>
      <c r="L63" s="648"/>
      <c r="M63" s="648"/>
      <c r="N63" s="922"/>
      <c r="O63" s="527"/>
      <c r="P63" s="942"/>
    </row>
    <row r="64" spans="1:16" x14ac:dyDescent="0.2">
      <c r="A64" s="5"/>
      <c r="B64" s="511">
        <v>30</v>
      </c>
      <c r="C64" s="1103" t="s">
        <v>1210</v>
      </c>
      <c r="D64" s="938"/>
      <c r="E64" s="939"/>
      <c r="F64" s="997"/>
      <c r="G64" s="940"/>
      <c r="H64" s="941">
        <f>'Vivienda Objeto'!J30</f>
        <v>0</v>
      </c>
      <c r="I64" s="527"/>
      <c r="J64" s="944" t="s">
        <v>157</v>
      </c>
      <c r="K64" s="648"/>
      <c r="L64" s="648"/>
      <c r="M64" s="648"/>
      <c r="N64" s="922"/>
      <c r="O64" s="527"/>
      <c r="P64" s="942"/>
    </row>
    <row r="65" spans="1:16" x14ac:dyDescent="0.2">
      <c r="A65" s="5"/>
      <c r="B65" s="511">
        <v>31</v>
      </c>
      <c r="C65" s="1103" t="s">
        <v>568</v>
      </c>
      <c r="D65" s="938"/>
      <c r="E65" s="939"/>
      <c r="F65" s="997"/>
      <c r="G65" s="940"/>
      <c r="H65" s="941">
        <f>'Vivienda Objeto'!J31</f>
        <v>0.7</v>
      </c>
      <c r="I65" s="527"/>
      <c r="J65" s="944" t="s">
        <v>158</v>
      </c>
      <c r="K65" s="648"/>
      <c r="L65" s="648"/>
      <c r="M65" s="648"/>
      <c r="N65" s="922"/>
      <c r="O65" s="527"/>
      <c r="P65" s="942"/>
    </row>
    <row r="66" spans="1:16" x14ac:dyDescent="0.2">
      <c r="A66" s="5"/>
      <c r="B66" s="511">
        <v>32</v>
      </c>
      <c r="C66" s="551" t="s">
        <v>273</v>
      </c>
      <c r="D66" s="938">
        <v>71.33</v>
      </c>
      <c r="E66" s="939" t="s">
        <v>261</v>
      </c>
      <c r="F66" s="997">
        <v>1.58</v>
      </c>
      <c r="G66" s="940"/>
      <c r="H66" s="941">
        <f>'Vivienda Objeto'!J32</f>
        <v>1.9</v>
      </c>
      <c r="I66" s="527"/>
      <c r="J66" s="6"/>
      <c r="K66" s="648"/>
      <c r="L66" s="648"/>
      <c r="M66" s="648"/>
      <c r="N66" s="922"/>
      <c r="O66" s="527"/>
      <c r="P66" s="942"/>
    </row>
    <row r="67" spans="1:16" x14ac:dyDescent="0.2">
      <c r="A67" s="5"/>
      <c r="B67" s="511">
        <v>33</v>
      </c>
      <c r="C67" s="551" t="s">
        <v>274</v>
      </c>
      <c r="D67" s="938">
        <v>54.25</v>
      </c>
      <c r="E67" s="939" t="s">
        <v>261</v>
      </c>
      <c r="F67" s="997">
        <v>0.46</v>
      </c>
      <c r="G67" s="940"/>
      <c r="H67" s="941">
        <f>'Vivienda Objeto'!J33</f>
        <v>1.9</v>
      </c>
      <c r="I67" s="527"/>
      <c r="J67" s="6"/>
      <c r="K67" s="648"/>
      <c r="L67" s="648"/>
      <c r="M67" s="648"/>
      <c r="N67" s="922"/>
      <c r="O67" s="527"/>
      <c r="P67" s="942"/>
    </row>
    <row r="68" spans="1:16" x14ac:dyDescent="0.2">
      <c r="A68" s="5"/>
      <c r="B68" s="511">
        <v>34</v>
      </c>
      <c r="C68" s="551" t="s">
        <v>275</v>
      </c>
      <c r="D68" s="938"/>
      <c r="E68" s="939" t="s">
        <v>261</v>
      </c>
      <c r="F68" s="997"/>
      <c r="G68" s="940"/>
      <c r="H68" s="941">
        <f>'Vivienda Objeto'!J34</f>
        <v>1.9</v>
      </c>
      <c r="I68" s="527"/>
      <c r="J68" s="6"/>
      <c r="K68" s="648"/>
      <c r="L68" s="648"/>
      <c r="M68" s="648"/>
      <c r="N68" s="922"/>
      <c r="O68" s="527"/>
      <c r="P68" s="942"/>
    </row>
    <row r="69" spans="1:16" x14ac:dyDescent="0.2">
      <c r="A69" s="5"/>
      <c r="B69" s="511">
        <v>35</v>
      </c>
      <c r="C69" s="551" t="s">
        <v>268</v>
      </c>
      <c r="D69" s="945">
        <v>71.650000000000006</v>
      </c>
      <c r="E69" s="939" t="s">
        <v>261</v>
      </c>
      <c r="F69" s="997">
        <v>0.46700000000000003</v>
      </c>
      <c r="G69" s="940"/>
      <c r="H69" s="941">
        <f>'Vivienda Objeto'!J35</f>
        <v>0.47</v>
      </c>
      <c r="I69" s="527"/>
      <c r="J69" s="6"/>
      <c r="K69" s="648"/>
      <c r="L69" s="648"/>
      <c r="M69" s="648"/>
      <c r="N69" s="922"/>
      <c r="O69" s="527"/>
      <c r="P69" s="942"/>
    </row>
    <row r="70" spans="1:16" x14ac:dyDescent="0.2">
      <c r="A70" s="5"/>
      <c r="B70" s="511">
        <v>36</v>
      </c>
      <c r="C70" s="551" t="s">
        <v>269</v>
      </c>
      <c r="D70" s="938"/>
      <c r="E70" s="939" t="s">
        <v>261</v>
      </c>
      <c r="F70" s="997"/>
      <c r="G70" s="940"/>
      <c r="H70" s="941">
        <f>'Vivienda Objeto'!J36</f>
        <v>0.47</v>
      </c>
      <c r="I70" s="527"/>
      <c r="J70" s="6"/>
      <c r="K70" s="648"/>
      <c r="L70" s="648"/>
      <c r="M70" s="648"/>
      <c r="N70" s="922"/>
      <c r="O70" s="527"/>
      <c r="P70" s="942"/>
    </row>
    <row r="71" spans="1:16" x14ac:dyDescent="0.2">
      <c r="B71" s="506"/>
      <c r="C71" s="551"/>
      <c r="D71" s="946"/>
      <c r="E71" s="940"/>
      <c r="F71" s="946"/>
      <c r="G71" s="940"/>
      <c r="H71" s="947"/>
      <c r="I71" s="543"/>
      <c r="J71" s="948"/>
      <c r="K71" s="648"/>
      <c r="L71" s="648"/>
      <c r="M71" s="648"/>
      <c r="N71" s="922"/>
      <c r="O71" s="527"/>
      <c r="P71" s="942"/>
    </row>
    <row r="72" spans="1:16" ht="22.5" x14ac:dyDescent="0.2">
      <c r="C72" s="551"/>
      <c r="D72" s="949" t="s">
        <v>501</v>
      </c>
      <c r="E72" s="950"/>
      <c r="F72" s="951" t="s">
        <v>1128</v>
      </c>
      <c r="G72" s="648"/>
      <c r="H72" s="648"/>
      <c r="I72" s="19"/>
      <c r="J72" s="952"/>
      <c r="K72" s="648"/>
      <c r="L72" s="648"/>
      <c r="M72" s="648"/>
      <c r="N72" s="922"/>
      <c r="O72" s="527"/>
      <c r="P72" s="942"/>
    </row>
    <row r="73" spans="1:16" ht="4.5" customHeight="1" x14ac:dyDescent="0.2">
      <c r="C73" s="551"/>
      <c r="D73" s="953"/>
      <c r="E73" s="950"/>
      <c r="F73" s="954"/>
      <c r="G73" s="648"/>
      <c r="H73" s="648"/>
      <c r="I73" s="19"/>
      <c r="J73" s="952"/>
      <c r="K73" s="648"/>
      <c r="L73" s="648"/>
      <c r="M73" s="648"/>
      <c r="N73" s="922"/>
      <c r="O73" s="527"/>
      <c r="P73" s="942"/>
    </row>
    <row r="74" spans="1:16" ht="30" customHeight="1" x14ac:dyDescent="0.2">
      <c r="B74" s="482">
        <v>37</v>
      </c>
      <c r="C74" s="955" t="s">
        <v>569</v>
      </c>
      <c r="D74" s="956">
        <v>39.07</v>
      </c>
      <c r="E74" s="957"/>
      <c r="F74" s="956">
        <v>1.2</v>
      </c>
      <c r="G74" s="648"/>
      <c r="H74" s="648"/>
      <c r="I74" s="958"/>
      <c r="J74" s="959"/>
      <c r="K74" s="648"/>
      <c r="L74" s="648"/>
      <c r="M74" s="648"/>
      <c r="N74" s="922"/>
      <c r="O74" s="527"/>
      <c r="P74" s="942"/>
    </row>
    <row r="75" spans="1:16" ht="30" customHeight="1" x14ac:dyDescent="0.2">
      <c r="B75" s="482">
        <v>38</v>
      </c>
      <c r="C75" s="955" t="s">
        <v>570</v>
      </c>
      <c r="D75" s="956"/>
      <c r="E75" s="957"/>
      <c r="F75" s="956">
        <v>0</v>
      </c>
      <c r="G75" s="648"/>
      <c r="H75" s="648"/>
      <c r="I75" s="958"/>
      <c r="J75" s="959"/>
      <c r="K75" s="648"/>
      <c r="L75" s="648"/>
      <c r="M75" s="648"/>
      <c r="N75" s="922"/>
      <c r="O75" s="527"/>
      <c r="P75" s="942"/>
    </row>
    <row r="76" spans="1:16" x14ac:dyDescent="0.2">
      <c r="C76" s="960"/>
      <c r="D76" s="648"/>
      <c r="E76" s="648"/>
      <c r="F76" s="648"/>
      <c r="G76" s="648"/>
      <c r="H76" s="648"/>
      <c r="I76" s="648"/>
      <c r="J76" s="648"/>
      <c r="K76" s="648"/>
      <c r="L76" s="648"/>
      <c r="M76" s="648"/>
      <c r="N76" s="922"/>
      <c r="O76" s="527"/>
      <c r="P76" s="942"/>
    </row>
    <row r="77" spans="1:16" ht="15" customHeight="1" x14ac:dyDescent="0.2">
      <c r="C77" s="531" t="s">
        <v>856</v>
      </c>
      <c r="D77" s="590"/>
      <c r="E77" s="590"/>
      <c r="F77" s="590"/>
      <c r="G77" s="590"/>
      <c r="H77" s="590"/>
      <c r="I77" s="590"/>
      <c r="J77" s="590"/>
      <c r="K77" s="590"/>
      <c r="L77" s="590"/>
      <c r="M77" s="590"/>
      <c r="N77" s="538"/>
      <c r="O77" s="548"/>
      <c r="P77" s="481"/>
    </row>
    <row r="78" spans="1:16" ht="5.25" customHeight="1" x14ac:dyDescent="0.2">
      <c r="C78" s="517"/>
      <c r="D78" s="3"/>
      <c r="E78" s="3"/>
      <c r="F78" s="3"/>
      <c r="G78" s="3"/>
      <c r="H78" s="3"/>
      <c r="I78" s="3"/>
      <c r="J78" s="3"/>
      <c r="K78" s="3"/>
      <c r="L78" s="3"/>
      <c r="M78" s="3"/>
      <c r="N78" s="500"/>
      <c r="O78" s="475"/>
      <c r="P78" s="495"/>
    </row>
    <row r="79" spans="1:16" ht="24" x14ac:dyDescent="0.2">
      <c r="C79" s="961" t="s">
        <v>793</v>
      </c>
      <c r="D79" s="962" t="s">
        <v>417</v>
      </c>
      <c r="E79" s="921"/>
      <c r="F79" s="917" t="s">
        <v>881</v>
      </c>
      <c r="G79" s="921"/>
      <c r="H79" s="962" t="s">
        <v>423</v>
      </c>
      <c r="I79" s="921"/>
      <c r="J79" s="963"/>
      <c r="K79" s="964" t="s">
        <v>424</v>
      </c>
      <c r="L79" s="965"/>
      <c r="M79" s="649"/>
      <c r="N79" s="534"/>
      <c r="O79" s="475"/>
      <c r="P79" s="495"/>
    </row>
    <row r="80" spans="1:16" ht="15.95" customHeight="1" x14ac:dyDescent="0.2">
      <c r="B80" s="482">
        <v>39</v>
      </c>
      <c r="C80" s="966" t="s">
        <v>299</v>
      </c>
      <c r="D80" s="967">
        <v>0.52</v>
      </c>
      <c r="E80" s="922"/>
      <c r="F80" s="938">
        <v>2.3199999999999998</v>
      </c>
      <c r="G80" s="922"/>
      <c r="H80" s="968">
        <v>0.87</v>
      </c>
      <c r="I80" s="922"/>
      <c r="J80" s="6"/>
      <c r="K80" s="922"/>
      <c r="L80" s="969">
        <f>'R1'!F152</f>
        <v>0.85</v>
      </c>
      <c r="M80" s="648"/>
      <c r="N80" s="925"/>
      <c r="O80" s="476"/>
      <c r="P80" s="495"/>
    </row>
    <row r="81" spans="1:16" ht="15.95" customHeight="1" x14ac:dyDescent="0.2">
      <c r="B81" s="482">
        <v>40</v>
      </c>
      <c r="C81" s="966" t="s">
        <v>300</v>
      </c>
      <c r="D81" s="968"/>
      <c r="E81" s="922"/>
      <c r="F81" s="938"/>
      <c r="G81" s="922"/>
      <c r="H81" s="968"/>
      <c r="I81" s="922"/>
      <c r="J81" s="6"/>
      <c r="K81" s="922"/>
      <c r="L81" s="970">
        <f>'R1'!F153</f>
        <v>0</v>
      </c>
      <c r="M81" s="648"/>
      <c r="N81" s="925"/>
      <c r="O81" s="476"/>
      <c r="P81" s="495"/>
    </row>
    <row r="82" spans="1:16" ht="15.95" customHeight="1" x14ac:dyDescent="0.2">
      <c r="B82" s="482">
        <v>41</v>
      </c>
      <c r="C82" s="966" t="s">
        <v>301</v>
      </c>
      <c r="D82" s="968">
        <v>0.71</v>
      </c>
      <c r="E82" s="922"/>
      <c r="F82" s="938">
        <v>20.79</v>
      </c>
      <c r="G82" s="922"/>
      <c r="H82" s="968">
        <v>0.87</v>
      </c>
      <c r="I82" s="922"/>
      <c r="J82" s="6"/>
      <c r="K82" s="922"/>
      <c r="L82" s="970">
        <f>'R1'!F154</f>
        <v>0.85</v>
      </c>
      <c r="M82" s="648"/>
      <c r="N82" s="925"/>
      <c r="O82" s="476"/>
      <c r="P82" s="495"/>
    </row>
    <row r="83" spans="1:16" ht="15.95" customHeight="1" x14ac:dyDescent="0.2">
      <c r="A83" s="5"/>
      <c r="B83" s="482">
        <v>42</v>
      </c>
      <c r="C83" s="966" t="s">
        <v>302</v>
      </c>
      <c r="D83" s="968"/>
      <c r="E83" s="922"/>
      <c r="F83" s="938"/>
      <c r="G83" s="922"/>
      <c r="H83" s="968"/>
      <c r="I83" s="922"/>
      <c r="J83" s="6"/>
      <c r="K83" s="922"/>
      <c r="L83" s="970">
        <f>'R1'!F155</f>
        <v>0</v>
      </c>
      <c r="M83" s="648"/>
      <c r="N83" s="925"/>
      <c r="O83" s="476"/>
      <c r="P83" s="495"/>
    </row>
    <row r="84" spans="1:16" ht="15.95" customHeight="1" x14ac:dyDescent="0.2">
      <c r="A84" s="5"/>
      <c r="B84" s="482">
        <v>43</v>
      </c>
      <c r="C84" s="966" t="s">
        <v>303</v>
      </c>
      <c r="D84" s="968">
        <v>0.45</v>
      </c>
      <c r="E84" s="922"/>
      <c r="F84" s="938">
        <v>0.46</v>
      </c>
      <c r="G84" s="922"/>
      <c r="H84" s="968">
        <v>0.87</v>
      </c>
      <c r="I84" s="922"/>
      <c r="J84" s="6"/>
      <c r="K84" s="922"/>
      <c r="L84" s="970">
        <f>'R1'!F156</f>
        <v>0.85</v>
      </c>
      <c r="M84" s="648"/>
      <c r="N84" s="925"/>
      <c r="O84" s="476"/>
      <c r="P84" s="495"/>
    </row>
    <row r="85" spans="1:16" ht="15.95" customHeight="1" x14ac:dyDescent="0.2">
      <c r="A85" s="5"/>
      <c r="B85" s="482">
        <v>44</v>
      </c>
      <c r="C85" s="1104" t="s">
        <v>1210</v>
      </c>
      <c r="D85" s="968"/>
      <c r="E85" s="922"/>
      <c r="F85" s="938">
        <v>0</v>
      </c>
      <c r="G85" s="922"/>
      <c r="H85" s="968"/>
      <c r="I85" s="922"/>
      <c r="J85" s="6"/>
      <c r="K85" s="922"/>
      <c r="L85" s="970">
        <f>'R1'!F157</f>
        <v>0</v>
      </c>
      <c r="M85" s="648"/>
      <c r="N85" s="925"/>
      <c r="O85" s="476"/>
      <c r="P85" s="495"/>
    </row>
    <row r="86" spans="1:16" x14ac:dyDescent="0.2">
      <c r="C86" s="971"/>
      <c r="D86" s="972"/>
      <c r="E86" s="972"/>
      <c r="F86" s="973">
        <f>SUM(F79:F85)</f>
        <v>23.57</v>
      </c>
      <c r="G86" s="972"/>
      <c r="H86" s="974"/>
      <c r="I86" s="972"/>
      <c r="J86" s="972"/>
      <c r="K86" s="972"/>
      <c r="L86" s="972"/>
      <c r="M86" s="975"/>
      <c r="N86" s="974"/>
      <c r="O86" s="824"/>
      <c r="P86" s="495"/>
    </row>
    <row r="87" spans="1:16" ht="4.5" customHeight="1" x14ac:dyDescent="0.2">
      <c r="C87" s="866"/>
      <c r="D87" s="864"/>
      <c r="E87" s="864"/>
      <c r="F87" s="518"/>
      <c r="G87" s="864"/>
      <c r="H87" s="867"/>
      <c r="I87" s="864"/>
      <c r="J87" s="864"/>
      <c r="K87" s="864"/>
      <c r="L87" s="864"/>
      <c r="M87" s="868"/>
      <c r="N87" s="867"/>
      <c r="O87" s="869"/>
      <c r="P87" s="496"/>
    </row>
    <row r="88" spans="1:16" ht="8.25" customHeight="1" x14ac:dyDescent="0.2">
      <c r="B88" s="870"/>
      <c r="C88" s="861"/>
      <c r="D88" s="822"/>
      <c r="E88" s="861"/>
      <c r="F88" s="453"/>
      <c r="G88" s="861"/>
      <c r="H88" s="871"/>
      <c r="I88" s="872"/>
      <c r="J88" s="822"/>
      <c r="K88" s="861"/>
      <c r="L88" s="822"/>
      <c r="M88" s="861"/>
      <c r="N88" s="865"/>
      <c r="O88" s="863"/>
      <c r="P88" s="14"/>
    </row>
    <row r="89" spans="1:16" ht="17.25" x14ac:dyDescent="0.25">
      <c r="B89" s="870"/>
      <c r="C89" s="873" t="s">
        <v>857</v>
      </c>
      <c r="D89" s="874"/>
      <c r="E89" s="874"/>
      <c r="F89" s="757"/>
      <c r="G89" s="874"/>
      <c r="H89" s="875"/>
      <c r="I89" s="876"/>
      <c r="J89" s="874"/>
      <c r="K89" s="874"/>
      <c r="L89" s="874"/>
      <c r="M89" s="874"/>
      <c r="N89" s="877"/>
      <c r="O89" s="878"/>
      <c r="P89" s="879"/>
    </row>
    <row r="90" spans="1:16" x14ac:dyDescent="0.2">
      <c r="B90" s="870"/>
      <c r="C90" s="880"/>
      <c r="D90" s="822"/>
      <c r="E90" s="822"/>
      <c r="F90" s="453"/>
      <c r="G90" s="822"/>
      <c r="H90" s="871"/>
      <c r="I90" s="881"/>
      <c r="J90" s="822"/>
      <c r="K90" s="822"/>
      <c r="L90" s="822"/>
      <c r="M90" s="822"/>
      <c r="N90" s="865"/>
      <c r="O90" s="824"/>
      <c r="P90" s="882"/>
    </row>
    <row r="91" spans="1:16" x14ac:dyDescent="0.2">
      <c r="B91" s="479">
        <v>45</v>
      </c>
      <c r="C91" s="911" t="s">
        <v>824</v>
      </c>
      <c r="D91" s="822"/>
      <c r="E91" s="822"/>
      <c r="F91" s="453"/>
      <c r="G91" s="24"/>
      <c r="H91" s="871"/>
      <c r="I91" s="881"/>
      <c r="J91" s="883">
        <f>'R1'!D136</f>
        <v>1</v>
      </c>
      <c r="K91" s="822"/>
      <c r="L91" s="822"/>
      <c r="M91" s="822"/>
      <c r="N91" s="865"/>
      <c r="O91" s="824"/>
      <c r="P91" s="882"/>
    </row>
    <row r="92" spans="1:16" x14ac:dyDescent="0.2">
      <c r="C92" s="880"/>
      <c r="D92" s="822"/>
      <c r="E92" s="822"/>
      <c r="F92" s="822"/>
      <c r="G92" s="24"/>
      <c r="H92" s="884"/>
      <c r="I92" s="822"/>
      <c r="J92" s="822"/>
      <c r="K92" s="822"/>
      <c r="L92" s="822"/>
      <c r="M92" s="822"/>
      <c r="N92" s="823"/>
      <c r="O92" s="824"/>
      <c r="P92" s="882"/>
    </row>
    <row r="93" spans="1:16" x14ac:dyDescent="0.2">
      <c r="C93" s="465" t="s">
        <v>882</v>
      </c>
      <c r="D93" s="46"/>
      <c r="E93" s="46"/>
      <c r="F93" s="46"/>
      <c r="G93" s="46"/>
      <c r="H93" s="46"/>
      <c r="I93" s="46"/>
      <c r="J93" s="46"/>
      <c r="K93" s="46"/>
      <c r="L93" s="46"/>
      <c r="M93" s="46"/>
      <c r="N93" s="537"/>
      <c r="O93" s="547"/>
      <c r="P93" s="483"/>
    </row>
    <row r="94" spans="1:16" s="11" customFormat="1" x14ac:dyDescent="0.2">
      <c r="B94" s="477"/>
      <c r="C94" s="517"/>
      <c r="D94" s="3"/>
      <c r="E94" s="3"/>
      <c r="F94" s="3"/>
      <c r="G94" s="3"/>
      <c r="H94" s="3"/>
      <c r="I94" s="3"/>
      <c r="J94" s="3"/>
      <c r="K94" s="3"/>
      <c r="L94" s="3"/>
      <c r="M94" s="3"/>
      <c r="N94" s="500"/>
      <c r="O94" s="475"/>
      <c r="P94" s="469"/>
    </row>
    <row r="95" spans="1:16" x14ac:dyDescent="0.2">
      <c r="B95" s="482">
        <v>46</v>
      </c>
      <c r="C95" s="551" t="s">
        <v>479</v>
      </c>
      <c r="D95" s="648"/>
      <c r="E95" s="648"/>
      <c r="F95" s="648"/>
      <c r="G95" s="648"/>
      <c r="H95" s="1025">
        <v>53.99</v>
      </c>
      <c r="I95" s="527" t="s">
        <v>405</v>
      </c>
      <c r="J95" s="648"/>
      <c r="K95" s="24"/>
      <c r="L95" s="24"/>
      <c r="M95" s="24"/>
      <c r="N95" s="499"/>
      <c r="O95" s="476"/>
      <c r="P95" s="495"/>
    </row>
    <row r="96" spans="1:16" x14ac:dyDescent="0.2">
      <c r="B96" s="482">
        <v>47</v>
      </c>
      <c r="C96" s="551" t="s">
        <v>883</v>
      </c>
      <c r="D96" s="648"/>
      <c r="E96" s="648"/>
      <c r="F96" s="648"/>
      <c r="G96" s="648"/>
      <c r="H96" s="1025">
        <v>75.75</v>
      </c>
      <c r="I96" s="527" t="s">
        <v>405</v>
      </c>
      <c r="J96" s="648"/>
      <c r="K96" s="24"/>
      <c r="L96" s="24"/>
      <c r="M96" s="24"/>
      <c r="N96" s="499"/>
      <c r="O96" s="476"/>
      <c r="P96" s="495"/>
    </row>
    <row r="97" spans="1:19" s="11" customFormat="1" ht="6" customHeight="1" x14ac:dyDescent="0.2">
      <c r="B97" s="497"/>
      <c r="C97" s="520"/>
      <c r="D97" s="489"/>
      <c r="E97" s="489"/>
      <c r="F97" s="489"/>
      <c r="G97" s="489"/>
      <c r="H97" s="521"/>
      <c r="I97" s="522"/>
      <c r="J97" s="489"/>
      <c r="K97" s="489"/>
      <c r="L97" s="489"/>
      <c r="M97" s="489"/>
      <c r="N97" s="501"/>
      <c r="O97" s="522"/>
      <c r="P97" s="484"/>
    </row>
    <row r="98" spans="1:19" ht="6" customHeight="1" x14ac:dyDescent="0.2">
      <c r="C98" s="861"/>
      <c r="D98" s="861"/>
      <c r="E98" s="861"/>
      <c r="F98" s="861"/>
      <c r="G98" s="861"/>
      <c r="H98" s="702"/>
      <c r="I98" s="861"/>
      <c r="J98" s="861"/>
      <c r="K98" s="861"/>
      <c r="L98" s="861"/>
      <c r="M98" s="861"/>
      <c r="N98" s="862"/>
      <c r="O98" s="863"/>
      <c r="P98" s="14"/>
    </row>
    <row r="99" spans="1:19" ht="18" x14ac:dyDescent="0.25">
      <c r="C99" s="885" t="s">
        <v>1238</v>
      </c>
      <c r="D99" s="874"/>
      <c r="E99" s="874"/>
      <c r="F99" s="874"/>
      <c r="G99" s="874"/>
      <c r="H99" s="874"/>
      <c r="I99" s="874"/>
      <c r="J99" s="874"/>
      <c r="K99" s="874"/>
      <c r="L99" s="874"/>
      <c r="M99" s="874"/>
      <c r="N99" s="886"/>
      <c r="O99" s="878"/>
      <c r="P99" s="879"/>
    </row>
    <row r="100" spans="1:19" ht="13.5" x14ac:dyDescent="0.2">
      <c r="B100" s="482">
        <v>48</v>
      </c>
      <c r="C100" s="887" t="s">
        <v>480</v>
      </c>
      <c r="D100" s="888"/>
      <c r="E100" s="888"/>
      <c r="F100" s="888"/>
      <c r="G100" s="888"/>
      <c r="H100" s="889">
        <f>'Vivienda Objeto'!H109</f>
        <v>117.02153825988168</v>
      </c>
      <c r="I100" s="890" t="s">
        <v>885</v>
      </c>
      <c r="J100" s="890"/>
      <c r="K100" s="888"/>
      <c r="L100" s="888"/>
      <c r="M100" s="888"/>
      <c r="N100" s="891"/>
      <c r="O100" s="890"/>
      <c r="P100" s="892"/>
    </row>
    <row r="101" spans="1:19" ht="14.25" customHeight="1" x14ac:dyDescent="0.2">
      <c r="B101" s="1130" t="s">
        <v>1237</v>
      </c>
      <c r="C101" s="887" t="s">
        <v>1139</v>
      </c>
      <c r="D101" s="888"/>
      <c r="E101" s="888"/>
      <c r="F101" s="888"/>
      <c r="G101" s="888"/>
      <c r="H101" s="827">
        <f>'Vivienda Objeto'!H129</f>
        <v>5.6567783763579538</v>
      </c>
      <c r="I101" s="890" t="s">
        <v>885</v>
      </c>
      <c r="J101" s="890"/>
      <c r="K101" s="888"/>
      <c r="L101" s="888"/>
      <c r="M101" s="888"/>
      <c r="N101" s="891"/>
      <c r="O101" s="890"/>
      <c r="P101" s="892"/>
    </row>
    <row r="102" spans="1:19" x14ac:dyDescent="0.2">
      <c r="B102" s="482">
        <v>49</v>
      </c>
      <c r="C102" s="887" t="s">
        <v>826</v>
      </c>
      <c r="D102" s="888"/>
      <c r="E102" s="888"/>
      <c r="F102" s="888"/>
      <c r="G102" s="888"/>
      <c r="H102" s="827">
        <f>IF('Vivienda Objeto'!H94=0,'Vivienda Objeto'!H78,0)</f>
        <v>16.714514668117932</v>
      </c>
      <c r="I102" s="890" t="s">
        <v>1129</v>
      </c>
      <c r="J102" s="890"/>
      <c r="K102" s="888"/>
      <c r="L102" s="888"/>
      <c r="M102" s="888"/>
      <c r="N102" s="891"/>
      <c r="O102" s="890"/>
      <c r="P102" s="892"/>
    </row>
    <row r="103" spans="1:19" x14ac:dyDescent="0.2">
      <c r="B103" s="482">
        <v>50</v>
      </c>
      <c r="C103" s="887" t="s">
        <v>893</v>
      </c>
      <c r="D103" s="888"/>
      <c r="E103" s="888"/>
      <c r="F103" s="888"/>
      <c r="G103" s="888"/>
      <c r="H103" s="827">
        <f>IF('Vivienda Objeto'!H94=0,'Vivienda Objeto'!H81,0)</f>
        <v>1162.9745282943941</v>
      </c>
      <c r="I103" s="890" t="s">
        <v>1129</v>
      </c>
      <c r="J103" s="890"/>
      <c r="K103" s="888"/>
      <c r="L103" s="888"/>
      <c r="M103" s="888"/>
      <c r="N103" s="891"/>
      <c r="O103" s="890"/>
      <c r="P103" s="892"/>
    </row>
    <row r="104" spans="1:19" x14ac:dyDescent="0.2">
      <c r="A104" s="5"/>
      <c r="B104" s="482">
        <v>51</v>
      </c>
      <c r="C104" s="887" t="s">
        <v>827</v>
      </c>
      <c r="D104" s="888"/>
      <c r="E104" s="888"/>
      <c r="F104" s="888"/>
      <c r="G104" s="888"/>
      <c r="H104" s="827">
        <f>'Vivienda Objeto'!D270</f>
        <v>76.812060074601746</v>
      </c>
      <c r="I104" s="890" t="s">
        <v>232</v>
      </c>
      <c r="J104" s="890"/>
      <c r="K104" s="888"/>
      <c r="L104" s="888"/>
      <c r="M104" s="888"/>
      <c r="N104" s="891"/>
      <c r="O104" s="890"/>
      <c r="P104" s="892"/>
    </row>
    <row r="105" spans="1:19" ht="13.5" x14ac:dyDescent="0.2">
      <c r="A105" s="5"/>
      <c r="B105" s="479">
        <v>52</v>
      </c>
      <c r="C105" s="887" t="s">
        <v>950</v>
      </c>
      <c r="D105" s="888"/>
      <c r="E105" s="888"/>
      <c r="F105" s="888"/>
      <c r="G105" s="888"/>
      <c r="H105" s="827">
        <f>Referencia!G52</f>
        <v>154.05553309802701</v>
      </c>
      <c r="I105" s="890" t="s">
        <v>885</v>
      </c>
      <c r="J105" s="890"/>
      <c r="K105" s="888"/>
      <c r="L105" s="888"/>
      <c r="M105" s="888"/>
      <c r="N105" s="891"/>
      <c r="O105" s="890"/>
      <c r="P105" s="892"/>
    </row>
    <row r="106" spans="1:19" ht="17.25" customHeight="1" x14ac:dyDescent="0.2">
      <c r="A106" s="5"/>
      <c r="B106" s="497"/>
      <c r="C106" s="887" t="s">
        <v>155</v>
      </c>
      <c r="D106" s="888"/>
      <c r="E106" s="888"/>
      <c r="F106" s="888"/>
      <c r="G106" s="888"/>
      <c r="H106" s="893"/>
      <c r="I106" s="890"/>
      <c r="J106" s="890"/>
      <c r="K106" s="888"/>
      <c r="L106" s="888"/>
      <c r="M106" s="888"/>
      <c r="N106" s="891"/>
      <c r="O106" s="890"/>
      <c r="P106" s="894">
        <f>Referencia!G55</f>
        <v>0</v>
      </c>
    </row>
    <row r="107" spans="1:19" ht="6" customHeight="1" x14ac:dyDescent="0.2">
      <c r="C107" s="895"/>
      <c r="D107" s="896"/>
      <c r="E107" s="896"/>
      <c r="F107" s="896"/>
      <c r="G107" s="896"/>
      <c r="H107" s="897"/>
      <c r="I107" s="896"/>
      <c r="J107" s="896"/>
      <c r="K107" s="896"/>
      <c r="L107" s="896"/>
      <c r="M107" s="896"/>
      <c r="N107" s="898"/>
      <c r="O107" s="899"/>
      <c r="P107" s="900"/>
    </row>
    <row r="108" spans="1:19" ht="11.25" customHeight="1" x14ac:dyDescent="0.2">
      <c r="B108" s="477"/>
      <c r="C108" s="901"/>
      <c r="D108" s="901"/>
      <c r="E108" s="901"/>
      <c r="F108" s="901"/>
      <c r="G108" s="901"/>
      <c r="H108" s="901"/>
      <c r="I108" s="901"/>
      <c r="J108" s="901"/>
      <c r="K108" s="901"/>
      <c r="L108" s="901"/>
      <c r="M108" s="901"/>
      <c r="N108" s="902"/>
      <c r="O108" s="903"/>
      <c r="P108" s="904"/>
      <c r="Q108" s="11"/>
      <c r="R108" s="11"/>
      <c r="S108" s="11"/>
    </row>
    <row r="109" spans="1:19" ht="18" x14ac:dyDescent="0.25">
      <c r="C109" s="753" t="s">
        <v>858</v>
      </c>
      <c r="D109" s="754"/>
      <c r="E109" s="754"/>
      <c r="F109" s="754"/>
      <c r="G109" s="754"/>
      <c r="H109" s="754"/>
      <c r="I109" s="754"/>
      <c r="J109" s="754"/>
      <c r="K109" s="754"/>
      <c r="L109" s="754"/>
      <c r="M109" s="754"/>
      <c r="N109" s="755"/>
      <c r="O109" s="756"/>
      <c r="P109" s="473"/>
    </row>
    <row r="110" spans="1:19" x14ac:dyDescent="0.2">
      <c r="C110" s="466"/>
      <c r="D110" s="24"/>
      <c r="E110" s="24"/>
      <c r="F110" s="24"/>
      <c r="G110" s="24"/>
      <c r="H110" s="24"/>
      <c r="I110" s="24"/>
      <c r="J110" s="24"/>
      <c r="K110" s="24"/>
      <c r="L110" s="24"/>
      <c r="M110" s="24"/>
      <c r="N110" s="500"/>
      <c r="O110" s="476"/>
      <c r="P110" s="495"/>
    </row>
    <row r="111" spans="1:19" x14ac:dyDescent="0.2">
      <c r="C111" s="531" t="s">
        <v>859</v>
      </c>
      <c r="D111" s="530"/>
      <c r="E111" s="530"/>
      <c r="F111" s="530"/>
      <c r="G111" s="530"/>
      <c r="H111" s="530"/>
      <c r="I111" s="530"/>
      <c r="J111" s="530"/>
      <c r="K111" s="530"/>
      <c r="L111" s="530"/>
      <c r="M111" s="530"/>
      <c r="N111" s="538"/>
      <c r="O111" s="548"/>
      <c r="P111" s="481"/>
    </row>
    <row r="112" spans="1:19" ht="9" customHeight="1" x14ac:dyDescent="0.25">
      <c r="C112" s="512"/>
      <c r="D112" s="3"/>
      <c r="E112" s="3"/>
      <c r="F112" s="3"/>
      <c r="G112" s="3"/>
      <c r="H112" s="3"/>
      <c r="I112" s="3"/>
      <c r="J112" s="3"/>
      <c r="K112" s="3"/>
      <c r="L112" s="3"/>
      <c r="M112" s="3"/>
      <c r="N112" s="500"/>
      <c r="O112" s="475"/>
      <c r="P112" s="495"/>
    </row>
    <row r="113" spans="1:16" s="231" customFormat="1" x14ac:dyDescent="0.2">
      <c r="A113" s="230"/>
      <c r="B113" s="482">
        <v>53</v>
      </c>
      <c r="C113" s="976" t="s">
        <v>666</v>
      </c>
      <c r="D113" s="543"/>
      <c r="E113" s="543"/>
      <c r="F113" s="543"/>
      <c r="G113" s="543"/>
      <c r="H113" s="527"/>
      <c r="I113" s="527"/>
      <c r="J113" s="941">
        <f>'Vivienda Objeto'!H51</f>
        <v>8.3806060500000008</v>
      </c>
      <c r="K113" s="543" t="s">
        <v>794</v>
      </c>
      <c r="L113" s="543"/>
      <c r="M113" s="475"/>
      <c r="N113" s="500"/>
      <c r="O113" s="475"/>
      <c r="P113" s="528"/>
    </row>
    <row r="114" spans="1:16" x14ac:dyDescent="0.2">
      <c r="C114" s="474"/>
      <c r="D114" s="476"/>
      <c r="E114" s="476"/>
      <c r="F114" s="476"/>
      <c r="G114" s="476"/>
      <c r="H114" s="476"/>
      <c r="I114" s="476"/>
      <c r="J114" s="476"/>
      <c r="K114" s="476"/>
      <c r="L114" s="476"/>
      <c r="M114" s="476"/>
      <c r="N114" s="499"/>
      <c r="O114" s="476"/>
      <c r="P114" s="495"/>
    </row>
    <row r="115" spans="1:16" ht="5.25" customHeight="1" x14ac:dyDescent="0.2">
      <c r="C115" s="526"/>
      <c r="D115" s="475"/>
      <c r="E115" s="475"/>
      <c r="F115" s="475"/>
      <c r="G115" s="475"/>
      <c r="H115" s="475"/>
      <c r="I115" s="475"/>
      <c r="J115" s="475"/>
      <c r="K115" s="475"/>
      <c r="L115" s="475"/>
      <c r="M115" s="475"/>
      <c r="N115" s="500"/>
      <c r="O115" s="475"/>
      <c r="P115" s="469"/>
    </row>
    <row r="116" spans="1:16" x14ac:dyDescent="0.2">
      <c r="C116" s="977" t="s">
        <v>828</v>
      </c>
      <c r="D116" s="978"/>
      <c r="E116" s="978"/>
      <c r="F116" s="978"/>
      <c r="G116" s="978"/>
      <c r="H116" s="978"/>
      <c r="I116" s="978"/>
      <c r="J116" s="978"/>
      <c r="K116" s="978"/>
      <c r="L116" s="979"/>
      <c r="M116" s="527"/>
      <c r="N116" s="534"/>
      <c r="O116" s="527"/>
      <c r="P116" s="495"/>
    </row>
    <row r="117" spans="1:16" ht="15" customHeight="1" x14ac:dyDescent="0.2">
      <c r="B117" s="482">
        <v>54</v>
      </c>
      <c r="C117" s="551"/>
      <c r="D117" s="527"/>
      <c r="E117" s="527"/>
      <c r="F117" s="527"/>
      <c r="G117" s="527"/>
      <c r="H117" s="527"/>
      <c r="I117" s="527"/>
      <c r="J117" s="527"/>
      <c r="K117" s="527"/>
      <c r="L117" s="527"/>
      <c r="M117" s="527"/>
      <c r="N117" s="534"/>
      <c r="O117" s="527"/>
      <c r="P117" s="495"/>
    </row>
    <row r="118" spans="1:16" ht="6.95" customHeight="1" x14ac:dyDescent="0.2">
      <c r="B118" s="497"/>
      <c r="C118" s="551"/>
      <c r="D118" s="527"/>
      <c r="E118" s="527"/>
      <c r="F118" s="527"/>
      <c r="G118" s="527"/>
      <c r="H118" s="527"/>
      <c r="I118" s="527"/>
      <c r="J118" s="527"/>
      <c r="K118" s="527"/>
      <c r="L118" s="527"/>
      <c r="M118" s="527"/>
      <c r="N118" s="534"/>
      <c r="O118" s="527"/>
      <c r="P118" s="495"/>
    </row>
    <row r="119" spans="1:16" ht="12.75" customHeight="1" x14ac:dyDescent="0.2">
      <c r="C119" s="977" t="s">
        <v>884</v>
      </c>
      <c r="D119" s="978"/>
      <c r="E119" s="978"/>
      <c r="F119" s="978"/>
      <c r="G119" s="978"/>
      <c r="H119" s="978"/>
      <c r="I119" s="978"/>
      <c r="J119" s="978"/>
      <c r="K119" s="978"/>
      <c r="L119" s="979"/>
      <c r="M119" s="527"/>
      <c r="N119" s="534"/>
      <c r="O119" s="527"/>
      <c r="P119" s="495"/>
    </row>
    <row r="120" spans="1:16" ht="18" customHeight="1" x14ac:dyDescent="0.2">
      <c r="B120" s="482">
        <v>55</v>
      </c>
      <c r="C120" s="551"/>
      <c r="D120" s="527"/>
      <c r="E120" s="527"/>
      <c r="F120" s="527"/>
      <c r="G120" s="527"/>
      <c r="H120" s="527"/>
      <c r="I120" s="527"/>
      <c r="J120" s="527"/>
      <c r="K120" s="527"/>
      <c r="L120" s="527"/>
      <c r="M120" s="527"/>
      <c r="N120" s="980">
        <f>'R2'!D4</f>
        <v>0.65</v>
      </c>
      <c r="O120" s="527" t="s">
        <v>795</v>
      </c>
      <c r="P120" s="495"/>
    </row>
    <row r="121" spans="1:16" ht="6.95" customHeight="1" x14ac:dyDescent="0.2">
      <c r="C121" s="551"/>
      <c r="D121" s="527"/>
      <c r="E121" s="527"/>
      <c r="F121" s="527"/>
      <c r="G121" s="527"/>
      <c r="H121" s="527"/>
      <c r="I121" s="527"/>
      <c r="J121" s="527"/>
      <c r="K121" s="527"/>
      <c r="L121" s="527"/>
      <c r="M121" s="527"/>
      <c r="N121" s="534"/>
      <c r="O121" s="527"/>
      <c r="P121" s="495"/>
    </row>
    <row r="122" spans="1:16" x14ac:dyDescent="0.2">
      <c r="C122" s="977" t="s">
        <v>426</v>
      </c>
      <c r="D122" s="978"/>
      <c r="E122" s="978"/>
      <c r="F122" s="978"/>
      <c r="G122" s="978"/>
      <c r="H122" s="981"/>
      <c r="I122" s="978"/>
      <c r="J122" s="978"/>
      <c r="K122" s="978"/>
      <c r="L122" s="979"/>
      <c r="M122" s="527"/>
      <c r="N122" s="922"/>
      <c r="O122" s="527"/>
      <c r="P122" s="495"/>
    </row>
    <row r="123" spans="1:16" ht="18.75" customHeight="1" x14ac:dyDescent="0.2">
      <c r="B123" s="482">
        <v>56</v>
      </c>
      <c r="C123" s="551"/>
      <c r="D123" s="527"/>
      <c r="E123" s="527"/>
      <c r="F123" s="527"/>
      <c r="G123" s="527"/>
      <c r="H123" s="527"/>
      <c r="I123" s="527"/>
      <c r="J123" s="527"/>
      <c r="K123" s="527"/>
      <c r="L123" s="527"/>
      <c r="M123" s="527"/>
      <c r="N123" s="941">
        <f>'R2'!D25</f>
        <v>1</v>
      </c>
      <c r="O123" s="527"/>
      <c r="P123" s="495"/>
    </row>
    <row r="124" spans="1:16" s="11" customFormat="1" ht="6.95" customHeight="1" x14ac:dyDescent="0.2">
      <c r="B124" s="497"/>
      <c r="C124" s="976"/>
      <c r="D124" s="543"/>
      <c r="E124" s="543"/>
      <c r="F124" s="543"/>
      <c r="G124" s="543"/>
      <c r="H124" s="543"/>
      <c r="I124" s="543"/>
      <c r="J124" s="543"/>
      <c r="K124" s="543"/>
      <c r="L124" s="543"/>
      <c r="M124" s="543"/>
      <c r="N124" s="982"/>
      <c r="O124" s="543"/>
      <c r="P124" s="469"/>
    </row>
    <row r="125" spans="1:16" x14ac:dyDescent="0.2">
      <c r="C125" s="977" t="s">
        <v>427</v>
      </c>
      <c r="D125" s="978"/>
      <c r="E125" s="978"/>
      <c r="F125" s="978"/>
      <c r="G125" s="978"/>
      <c r="H125" s="981"/>
      <c r="I125" s="978"/>
      <c r="J125" s="978"/>
      <c r="K125" s="978"/>
      <c r="L125" s="979"/>
      <c r="M125" s="527"/>
      <c r="N125" s="922"/>
      <c r="O125" s="527"/>
      <c r="P125" s="495"/>
    </row>
    <row r="126" spans="1:16" ht="18.75" customHeight="1" x14ac:dyDescent="0.2">
      <c r="B126" s="482">
        <v>57</v>
      </c>
      <c r="C126" s="551"/>
      <c r="D126" s="527"/>
      <c r="E126" s="527"/>
      <c r="F126" s="527"/>
      <c r="G126" s="527"/>
      <c r="H126" s="527"/>
      <c r="I126" s="527"/>
      <c r="J126" s="527"/>
      <c r="K126" s="527"/>
      <c r="L126" s="527"/>
      <c r="M126" s="527"/>
      <c r="N126" s="941">
        <f>'R2'!D31</f>
        <v>1</v>
      </c>
      <c r="O126" s="527"/>
      <c r="P126" s="495"/>
    </row>
    <row r="127" spans="1:16" ht="6" customHeight="1" x14ac:dyDescent="0.2">
      <c r="C127" s="551"/>
      <c r="D127" s="527"/>
      <c r="E127" s="527"/>
      <c r="F127" s="527"/>
      <c r="G127" s="527"/>
      <c r="H127" s="527"/>
      <c r="I127" s="527"/>
      <c r="J127" s="527"/>
      <c r="K127" s="527"/>
      <c r="L127" s="527"/>
      <c r="M127" s="527"/>
      <c r="N127" s="982"/>
      <c r="O127" s="527"/>
      <c r="P127" s="495"/>
    </row>
    <row r="128" spans="1:16" x14ac:dyDescent="0.2">
      <c r="C128" s="551"/>
      <c r="D128" s="527"/>
      <c r="E128" s="527"/>
      <c r="F128" s="527"/>
      <c r="G128" s="527"/>
      <c r="H128" s="527"/>
      <c r="I128" s="527"/>
      <c r="J128" s="527"/>
      <c r="K128" s="527"/>
      <c r="L128" s="527"/>
      <c r="M128" s="527"/>
      <c r="N128" s="534"/>
      <c r="O128" s="527"/>
      <c r="P128" s="495"/>
    </row>
    <row r="129" spans="2:16" ht="13.5" thickBot="1" x14ac:dyDescent="0.25">
      <c r="C129" s="977" t="s">
        <v>829</v>
      </c>
      <c r="D129" s="978"/>
      <c r="E129" s="978"/>
      <c r="F129" s="978"/>
      <c r="G129" s="978"/>
      <c r="H129" s="978"/>
      <c r="I129" s="978"/>
      <c r="J129" s="978"/>
      <c r="K129" s="978"/>
      <c r="L129" s="979"/>
      <c r="M129" s="527"/>
      <c r="N129" s="534"/>
      <c r="O129" s="527"/>
      <c r="P129" s="495"/>
    </row>
    <row r="130" spans="2:16" ht="13.5" thickBot="1" x14ac:dyDescent="0.25">
      <c r="B130" s="482">
        <v>58</v>
      </c>
      <c r="C130" s="983" t="s">
        <v>350</v>
      </c>
      <c r="D130" s="984"/>
      <c r="E130" s="984"/>
      <c r="F130" s="984"/>
      <c r="G130" s="984"/>
      <c r="H130" s="984"/>
      <c r="I130" s="984"/>
      <c r="J130" s="984"/>
      <c r="K130" s="984"/>
      <c r="L130" s="985"/>
      <c r="M130" s="527"/>
      <c r="N130" s="986">
        <v>0</v>
      </c>
      <c r="O130" s="527" t="s">
        <v>795</v>
      </c>
      <c r="P130" s="495"/>
    </row>
    <row r="131" spans="2:16" x14ac:dyDescent="0.2">
      <c r="C131" s="551"/>
      <c r="D131" s="527"/>
      <c r="E131" s="527"/>
      <c r="F131" s="527"/>
      <c r="G131" s="527"/>
      <c r="H131" s="527"/>
      <c r="I131" s="527"/>
      <c r="J131" s="527"/>
      <c r="K131" s="527"/>
      <c r="L131" s="527"/>
      <c r="M131" s="527"/>
      <c r="N131" s="534"/>
      <c r="O131" s="527"/>
      <c r="P131" s="495"/>
    </row>
    <row r="132" spans="2:16" x14ac:dyDescent="0.2">
      <c r="B132" s="479">
        <v>59</v>
      </c>
      <c r="C132" s="551" t="s">
        <v>349</v>
      </c>
      <c r="D132" s="527"/>
      <c r="E132" s="527"/>
      <c r="F132" s="527"/>
      <c r="G132" s="527"/>
      <c r="H132" s="527"/>
      <c r="I132" s="527"/>
      <c r="J132" s="527"/>
      <c r="K132" s="527"/>
      <c r="L132" s="527"/>
      <c r="M132" s="527"/>
      <c r="N132" s="941">
        <f>'Vivienda Objeto'!N157</f>
        <v>0.65</v>
      </c>
      <c r="O132" s="527" t="s">
        <v>795</v>
      </c>
      <c r="P132" s="495"/>
    </row>
    <row r="133" spans="2:16" ht="5.25" customHeight="1" x14ac:dyDescent="0.2">
      <c r="C133" s="551"/>
      <c r="D133" s="527"/>
      <c r="E133" s="527"/>
      <c r="F133" s="527"/>
      <c r="G133" s="527"/>
      <c r="H133" s="527"/>
      <c r="I133" s="527"/>
      <c r="J133" s="527"/>
      <c r="K133" s="527"/>
      <c r="L133" s="527"/>
      <c r="M133" s="527"/>
      <c r="N133" s="982"/>
      <c r="O133" s="527"/>
      <c r="P133" s="495"/>
    </row>
    <row r="134" spans="2:16" ht="9.75" customHeight="1" x14ac:dyDescent="0.2">
      <c r="B134" s="870"/>
      <c r="C134" s="987"/>
      <c r="D134" s="975"/>
      <c r="E134" s="975"/>
      <c r="F134" s="975"/>
      <c r="G134" s="975"/>
      <c r="H134" s="975"/>
      <c r="I134" s="975"/>
      <c r="J134" s="975"/>
      <c r="K134" s="975"/>
      <c r="L134" s="975"/>
      <c r="M134" s="975"/>
      <c r="N134" s="988"/>
      <c r="O134" s="912"/>
      <c r="P134" s="882"/>
    </row>
    <row r="135" spans="2:16" x14ac:dyDescent="0.2">
      <c r="B135" s="870"/>
      <c r="C135" s="841" t="s">
        <v>860</v>
      </c>
      <c r="D135" s="905"/>
      <c r="E135" s="905"/>
      <c r="F135" s="905"/>
      <c r="G135" s="905"/>
      <c r="H135" s="905"/>
      <c r="I135" s="905"/>
      <c r="J135" s="905"/>
      <c r="K135" s="905"/>
      <c r="L135" s="905"/>
      <c r="M135" s="905"/>
      <c r="N135" s="906"/>
      <c r="O135" s="907"/>
      <c r="P135" s="853"/>
    </row>
    <row r="136" spans="2:16" ht="6.75" customHeight="1" x14ac:dyDescent="0.2">
      <c r="B136" s="870"/>
      <c r="C136" s="880"/>
      <c r="D136" s="822"/>
      <c r="E136" s="822"/>
      <c r="F136" s="822"/>
      <c r="G136" s="822"/>
      <c r="H136" s="822"/>
      <c r="I136" s="822"/>
      <c r="J136" s="822"/>
      <c r="K136" s="822"/>
      <c r="L136" s="822"/>
      <c r="M136" s="822"/>
      <c r="N136" s="845"/>
      <c r="O136" s="824"/>
      <c r="P136" s="882"/>
    </row>
    <row r="137" spans="2:16" ht="5.25" customHeight="1" x14ac:dyDescent="0.2">
      <c r="B137" s="870"/>
      <c r="C137" s="908"/>
      <c r="D137" s="832"/>
      <c r="E137" s="832"/>
      <c r="F137" s="832"/>
      <c r="G137" s="832"/>
      <c r="H137" s="832"/>
      <c r="I137" s="832"/>
      <c r="J137" s="832"/>
      <c r="K137" s="832"/>
      <c r="L137" s="832"/>
      <c r="M137" s="832"/>
      <c r="N137" s="845"/>
      <c r="O137" s="844"/>
      <c r="P137" s="882"/>
    </row>
    <row r="138" spans="2:16" x14ac:dyDescent="0.2">
      <c r="B138" s="870"/>
      <c r="C138" s="989" t="s">
        <v>642</v>
      </c>
      <c r="D138" s="990"/>
      <c r="E138" s="990"/>
      <c r="F138" s="990"/>
      <c r="G138" s="990"/>
      <c r="H138" s="990"/>
      <c r="I138" s="990"/>
      <c r="J138" s="990"/>
      <c r="K138" s="990"/>
      <c r="L138" s="991"/>
      <c r="M138" s="992"/>
      <c r="N138" s="993"/>
      <c r="O138" s="910"/>
      <c r="P138" s="882"/>
    </row>
    <row r="139" spans="2:16" ht="21" customHeight="1" x14ac:dyDescent="0.2">
      <c r="B139" s="909">
        <v>60</v>
      </c>
      <c r="C139" s="994"/>
      <c r="D139" s="992"/>
      <c r="E139" s="992"/>
      <c r="F139" s="992"/>
      <c r="G139" s="992"/>
      <c r="H139" s="992"/>
      <c r="I139" s="992"/>
      <c r="J139" s="992"/>
      <c r="K139" s="992"/>
      <c r="L139" s="992"/>
      <c r="M139" s="992"/>
      <c r="N139" s="993"/>
      <c r="O139" s="910"/>
      <c r="P139" s="882"/>
    </row>
    <row r="140" spans="2:16" ht="5.25" customHeight="1" x14ac:dyDescent="0.2">
      <c r="B140" s="870"/>
      <c r="C140" s="994"/>
      <c r="D140" s="992"/>
      <c r="E140" s="992"/>
      <c r="F140" s="992"/>
      <c r="G140" s="992"/>
      <c r="H140" s="992"/>
      <c r="I140" s="992"/>
      <c r="J140" s="992"/>
      <c r="K140" s="992"/>
      <c r="L140" s="992"/>
      <c r="M140" s="992"/>
      <c r="N140" s="993"/>
      <c r="O140" s="910"/>
      <c r="P140" s="882"/>
    </row>
    <row r="141" spans="2:16" x14ac:dyDescent="0.2">
      <c r="B141" s="870"/>
      <c r="C141" s="989" t="s">
        <v>344</v>
      </c>
      <c r="D141" s="990"/>
      <c r="E141" s="990"/>
      <c r="F141" s="990"/>
      <c r="G141" s="990"/>
      <c r="H141" s="990"/>
      <c r="I141" s="990"/>
      <c r="J141" s="990"/>
      <c r="K141" s="990"/>
      <c r="L141" s="991"/>
      <c r="M141" s="975"/>
      <c r="N141" s="993"/>
      <c r="O141" s="912"/>
      <c r="P141" s="882"/>
    </row>
    <row r="142" spans="2:16" ht="14.25" customHeight="1" x14ac:dyDescent="0.2">
      <c r="B142" s="909">
        <v>61</v>
      </c>
      <c r="C142" s="911"/>
      <c r="D142" s="975"/>
      <c r="E142" s="975"/>
      <c r="F142" s="975"/>
      <c r="G142" s="975"/>
      <c r="H142" s="975"/>
      <c r="I142" s="975"/>
      <c r="J142" s="975"/>
      <c r="K142" s="975"/>
      <c r="L142" s="975"/>
      <c r="M142" s="975"/>
      <c r="N142" s="973">
        <f>'Vivienda Objeto'!N185</f>
        <v>0.7</v>
      </c>
      <c r="O142" s="912" t="s">
        <v>795</v>
      </c>
      <c r="P142" s="882"/>
    </row>
    <row r="143" spans="2:16" ht="5.25" customHeight="1" x14ac:dyDescent="0.2">
      <c r="B143" s="870"/>
      <c r="C143" s="911"/>
      <c r="D143" s="975"/>
      <c r="E143" s="975"/>
      <c r="F143" s="975"/>
      <c r="G143" s="975"/>
      <c r="H143" s="975"/>
      <c r="I143" s="975"/>
      <c r="J143" s="975"/>
      <c r="K143" s="975"/>
      <c r="L143" s="975"/>
      <c r="M143" s="975"/>
      <c r="N143" s="993"/>
      <c r="O143" s="912"/>
      <c r="P143" s="882"/>
    </row>
    <row r="144" spans="2:16" x14ac:dyDescent="0.2">
      <c r="B144" s="870"/>
      <c r="C144" s="989" t="s">
        <v>426</v>
      </c>
      <c r="D144" s="990"/>
      <c r="E144" s="990"/>
      <c r="F144" s="990"/>
      <c r="G144" s="990"/>
      <c r="H144" s="995"/>
      <c r="I144" s="990"/>
      <c r="J144" s="990"/>
      <c r="K144" s="990"/>
      <c r="L144" s="991"/>
      <c r="M144" s="975"/>
      <c r="N144" s="972"/>
      <c r="O144" s="912"/>
      <c r="P144" s="882"/>
    </row>
    <row r="145" spans="2:16" ht="17.25" customHeight="1" x14ac:dyDescent="0.2">
      <c r="B145" s="909">
        <v>62</v>
      </c>
      <c r="C145" s="911"/>
      <c r="D145" s="975"/>
      <c r="E145" s="975"/>
      <c r="F145" s="975"/>
      <c r="G145" s="975"/>
      <c r="H145" s="975"/>
      <c r="I145" s="975"/>
      <c r="J145" s="975"/>
      <c r="K145" s="975"/>
      <c r="L145" s="975"/>
      <c r="M145" s="975"/>
      <c r="N145" s="973">
        <f>'Vivienda Objeto'!N188</f>
        <v>0.9</v>
      </c>
      <c r="O145" s="912"/>
      <c r="P145" s="882"/>
    </row>
    <row r="146" spans="2:16" x14ac:dyDescent="0.2">
      <c r="B146" s="870"/>
      <c r="C146" s="911"/>
      <c r="D146" s="975"/>
      <c r="E146" s="975"/>
      <c r="F146" s="975"/>
      <c r="G146" s="975"/>
      <c r="H146" s="996"/>
      <c r="I146" s="975"/>
      <c r="J146" s="975"/>
      <c r="K146" s="975"/>
      <c r="L146" s="975"/>
      <c r="M146" s="975"/>
      <c r="N146" s="972"/>
      <c r="O146" s="912"/>
      <c r="P146" s="882"/>
    </row>
    <row r="147" spans="2:16" x14ac:dyDescent="0.2">
      <c r="B147" s="909">
        <v>63</v>
      </c>
      <c r="C147" s="989" t="s">
        <v>609</v>
      </c>
      <c r="D147" s="990"/>
      <c r="E147" s="990"/>
      <c r="F147" s="990"/>
      <c r="G147" s="990"/>
      <c r="H147" s="990"/>
      <c r="I147" s="990"/>
      <c r="J147" s="990"/>
      <c r="K147" s="990"/>
      <c r="L147" s="991"/>
      <c r="M147" s="975"/>
      <c r="N147" s="997">
        <v>0</v>
      </c>
      <c r="O147" s="912" t="s">
        <v>291</v>
      </c>
      <c r="P147" s="882"/>
    </row>
    <row r="148" spans="2:16" x14ac:dyDescent="0.2">
      <c r="B148" s="870"/>
      <c r="C148" s="911"/>
      <c r="D148" s="975"/>
      <c r="E148" s="975"/>
      <c r="F148" s="975"/>
      <c r="G148" s="975"/>
      <c r="H148" s="975"/>
      <c r="I148" s="975"/>
      <c r="J148" s="975"/>
      <c r="K148" s="975"/>
      <c r="L148" s="975"/>
      <c r="M148" s="975"/>
      <c r="N148" s="988"/>
      <c r="O148" s="912"/>
      <c r="P148" s="882"/>
    </row>
    <row r="149" spans="2:16" x14ac:dyDescent="0.2">
      <c r="B149" s="870"/>
      <c r="C149" s="989" t="s">
        <v>829</v>
      </c>
      <c r="D149" s="998"/>
      <c r="E149" s="998"/>
      <c r="F149" s="998"/>
      <c r="G149" s="998"/>
      <c r="H149" s="998"/>
      <c r="I149" s="998"/>
      <c r="J149" s="998"/>
      <c r="K149" s="998"/>
      <c r="L149" s="999"/>
      <c r="M149" s="975"/>
      <c r="N149" s="993"/>
      <c r="O149" s="912"/>
      <c r="P149" s="882"/>
    </row>
    <row r="150" spans="2:16" x14ac:dyDescent="0.2">
      <c r="B150" s="482">
        <v>64</v>
      </c>
      <c r="C150" s="983" t="s">
        <v>350</v>
      </c>
      <c r="D150" s="1000"/>
      <c r="E150" s="1000"/>
      <c r="F150" s="1000"/>
      <c r="G150" s="1000"/>
      <c r="H150" s="1000"/>
      <c r="I150" s="1000"/>
      <c r="J150" s="1000"/>
      <c r="K150" s="1000"/>
      <c r="L150" s="1001"/>
      <c r="M150" s="648"/>
      <c r="N150" s="1002">
        <v>0</v>
      </c>
      <c r="O150" s="527" t="s">
        <v>795</v>
      </c>
      <c r="P150" s="495"/>
    </row>
    <row r="151" spans="2:16" x14ac:dyDescent="0.2">
      <c r="C151" s="551"/>
      <c r="D151" s="648"/>
      <c r="E151" s="648"/>
      <c r="F151" s="648"/>
      <c r="G151" s="648"/>
      <c r="H151" s="648"/>
      <c r="I151" s="648"/>
      <c r="J151" s="648"/>
      <c r="K151" s="648"/>
      <c r="L151" s="648"/>
      <c r="M151" s="648"/>
      <c r="N151" s="534"/>
      <c r="O151" s="527"/>
      <c r="P151" s="495"/>
    </row>
    <row r="152" spans="2:16" x14ac:dyDescent="0.2">
      <c r="B152" s="479">
        <v>65</v>
      </c>
      <c r="C152" s="551" t="s">
        <v>349</v>
      </c>
      <c r="D152" s="648"/>
      <c r="E152" s="648"/>
      <c r="F152" s="648"/>
      <c r="G152" s="648"/>
      <c r="H152" s="648"/>
      <c r="I152" s="648"/>
      <c r="J152" s="648"/>
      <c r="K152" s="648"/>
      <c r="L152" s="648"/>
      <c r="M152" s="648"/>
      <c r="N152" s="941">
        <f>'R2'!C92</f>
        <v>0.63</v>
      </c>
      <c r="O152" s="527" t="s">
        <v>795</v>
      </c>
      <c r="P152" s="495"/>
    </row>
    <row r="153" spans="2:16" x14ac:dyDescent="0.2">
      <c r="C153" s="551"/>
      <c r="D153" s="648"/>
      <c r="E153" s="648"/>
      <c r="F153" s="648"/>
      <c r="G153" s="648"/>
      <c r="H153" s="648"/>
      <c r="I153" s="648"/>
      <c r="J153" s="648"/>
      <c r="K153" s="648"/>
      <c r="L153" s="648"/>
      <c r="M153" s="19"/>
      <c r="N153" s="982"/>
      <c r="O153" s="527"/>
      <c r="P153" s="495"/>
    </row>
    <row r="154" spans="2:16" x14ac:dyDescent="0.2">
      <c r="C154" s="531" t="s">
        <v>861</v>
      </c>
      <c r="D154" s="530"/>
      <c r="E154" s="530"/>
      <c r="F154" s="530"/>
      <c r="G154" s="530"/>
      <c r="H154" s="530"/>
      <c r="I154" s="530"/>
      <c r="J154" s="530"/>
      <c r="K154" s="530"/>
      <c r="L154" s="530"/>
      <c r="M154" s="530"/>
      <c r="N154" s="539"/>
      <c r="O154" s="548"/>
      <c r="P154" s="481"/>
    </row>
    <row r="155" spans="2:16" ht="7.5" customHeight="1" x14ac:dyDescent="0.2">
      <c r="C155" s="466"/>
      <c r="D155" s="24"/>
      <c r="E155" s="24"/>
      <c r="F155" s="24"/>
      <c r="G155" s="24"/>
      <c r="H155" s="24"/>
      <c r="I155" s="24"/>
      <c r="J155" s="24"/>
      <c r="K155" s="24"/>
      <c r="L155" s="24"/>
      <c r="M155" s="3"/>
      <c r="N155" s="525"/>
      <c r="O155" s="476"/>
      <c r="P155" s="495"/>
    </row>
    <row r="156" spans="2:16" x14ac:dyDescent="0.2">
      <c r="C156" s="960" t="s">
        <v>830</v>
      </c>
      <c r="D156" s="24"/>
      <c r="E156" s="24"/>
      <c r="F156" s="24"/>
      <c r="G156" s="24"/>
      <c r="H156" s="24"/>
      <c r="I156" s="24"/>
      <c r="J156" s="24"/>
      <c r="K156" s="24"/>
      <c r="L156" s="24"/>
      <c r="M156" s="24"/>
      <c r="N156" s="499"/>
      <c r="O156" s="476"/>
      <c r="P156" s="495"/>
    </row>
    <row r="157" spans="2:16" x14ac:dyDescent="0.2">
      <c r="C157" s="466"/>
      <c r="D157" s="24"/>
      <c r="E157" s="24"/>
      <c r="F157" s="24"/>
      <c r="G157" s="24"/>
      <c r="H157" s="24"/>
      <c r="I157" s="24"/>
      <c r="J157" s="24"/>
      <c r="K157" s="24"/>
      <c r="L157" s="24"/>
      <c r="M157" s="24"/>
      <c r="N157" s="499"/>
      <c r="O157" s="476"/>
      <c r="P157" s="495"/>
    </row>
    <row r="158" spans="2:16" x14ac:dyDescent="0.2">
      <c r="C158" s="531" t="s">
        <v>894</v>
      </c>
      <c r="D158" s="530"/>
      <c r="E158" s="530"/>
      <c r="F158" s="530"/>
      <c r="G158" s="530"/>
      <c r="H158" s="530"/>
      <c r="I158" s="530"/>
      <c r="J158" s="530"/>
      <c r="K158" s="530"/>
      <c r="L158" s="530"/>
      <c r="M158" s="530"/>
      <c r="N158" s="538"/>
      <c r="O158" s="548"/>
      <c r="P158" s="481"/>
    </row>
    <row r="159" spans="2:16" x14ac:dyDescent="0.2">
      <c r="C159" s="466"/>
      <c r="D159" s="24"/>
      <c r="E159" s="24"/>
      <c r="F159" s="24"/>
      <c r="G159" s="24"/>
      <c r="H159" s="24"/>
      <c r="I159" s="24"/>
      <c r="J159" s="24"/>
      <c r="K159" s="24"/>
      <c r="L159" s="24"/>
      <c r="M159" s="24"/>
      <c r="N159" s="499"/>
      <c r="O159" s="476"/>
      <c r="P159" s="495"/>
    </row>
    <row r="160" spans="2:16" x14ac:dyDescent="0.2">
      <c r="B160" s="482">
        <v>66</v>
      </c>
      <c r="C160" s="960" t="s">
        <v>895</v>
      </c>
      <c r="D160" s="648"/>
      <c r="E160" s="648"/>
      <c r="F160" s="648"/>
      <c r="G160" s="648"/>
      <c r="H160" s="648"/>
      <c r="I160" s="648"/>
      <c r="J160" s="828">
        <f>'R4'!F3</f>
        <v>3</v>
      </c>
      <c r="K160" s="550">
        <f>'R1'!D141</f>
        <v>1</v>
      </c>
      <c r="L160" s="648"/>
      <c r="M160" s="24"/>
      <c r="N160" s="499"/>
      <c r="O160" s="476"/>
      <c r="P160" s="495"/>
    </row>
    <row r="161" spans="1:17" s="11" customFormat="1" ht="7.5" customHeight="1" thickBot="1" x14ac:dyDescent="0.25">
      <c r="B161" s="477"/>
      <c r="C161" s="517"/>
      <c r="D161" s="3"/>
      <c r="E161" s="3"/>
      <c r="F161" s="3"/>
      <c r="G161" s="3"/>
      <c r="H161" s="3"/>
      <c r="I161" s="3"/>
      <c r="J161" s="3"/>
      <c r="K161" s="3"/>
      <c r="L161" s="3"/>
      <c r="M161" s="3"/>
      <c r="N161" s="500"/>
      <c r="O161" s="475"/>
      <c r="P161" s="469"/>
    </row>
    <row r="162" spans="1:17" ht="15.75" x14ac:dyDescent="0.25">
      <c r="B162" s="479">
        <v>67</v>
      </c>
      <c r="C162" s="774" t="s">
        <v>660</v>
      </c>
      <c r="D162" s="555"/>
      <c r="E162" s="555"/>
      <c r="F162" s="555"/>
      <c r="G162" s="555"/>
      <c r="H162" s="555"/>
      <c r="I162" s="555"/>
      <c r="J162" s="555"/>
      <c r="K162" s="555"/>
      <c r="L162" s="555"/>
      <c r="M162" s="555"/>
      <c r="N162" s="556"/>
      <c r="O162" s="557"/>
      <c r="P162" s="558"/>
      <c r="Q162" s="11"/>
    </row>
    <row r="163" spans="1:17" ht="20.25" customHeight="1" x14ac:dyDescent="0.2">
      <c r="B163" s="482">
        <v>68</v>
      </c>
      <c r="C163" s="1003" t="s">
        <v>513</v>
      </c>
      <c r="D163" s="527"/>
      <c r="E163" s="527"/>
      <c r="F163" s="527"/>
      <c r="G163" s="527"/>
      <c r="H163" s="527"/>
      <c r="I163" s="527"/>
      <c r="J163" s="527"/>
      <c r="K163" s="527"/>
      <c r="L163" s="527"/>
      <c r="M163" s="527"/>
      <c r="N163" s="982"/>
      <c r="O163" s="523"/>
      <c r="P163" s="495"/>
    </row>
    <row r="164" spans="1:17" ht="21.75" customHeight="1" x14ac:dyDescent="0.2">
      <c r="B164" s="482">
        <v>69</v>
      </c>
      <c r="C164" s="1003" t="s">
        <v>587</v>
      </c>
      <c r="D164" s="527"/>
      <c r="E164" s="527"/>
      <c r="F164" s="527"/>
      <c r="G164" s="527"/>
      <c r="H164" s="527"/>
      <c r="I164" s="527"/>
      <c r="J164" s="527"/>
      <c r="K164" s="527"/>
      <c r="L164" s="527"/>
      <c r="M164" s="527"/>
      <c r="N164" s="982"/>
      <c r="O164" s="523"/>
      <c r="P164" s="495"/>
    </row>
    <row r="165" spans="1:17" ht="13.5" x14ac:dyDescent="0.2">
      <c r="A165" s="5"/>
      <c r="B165" s="482">
        <v>70</v>
      </c>
      <c r="C165" s="1003" t="s">
        <v>724</v>
      </c>
      <c r="D165" s="527"/>
      <c r="E165" s="527"/>
      <c r="F165" s="527"/>
      <c r="G165" s="527"/>
      <c r="H165" s="968">
        <v>2</v>
      </c>
      <c r="I165" s="527" t="s">
        <v>842</v>
      </c>
      <c r="J165" s="527"/>
      <c r="K165" s="527"/>
      <c r="L165" s="527"/>
      <c r="M165" s="527"/>
      <c r="N165" s="982"/>
      <c r="O165" s="523"/>
      <c r="P165" s="495"/>
    </row>
    <row r="166" spans="1:17" x14ac:dyDescent="0.2">
      <c r="A166" s="5"/>
      <c r="B166" s="482">
        <v>71</v>
      </c>
      <c r="C166" s="1003" t="s">
        <v>725</v>
      </c>
      <c r="D166" s="527"/>
      <c r="E166" s="527"/>
      <c r="F166" s="527"/>
      <c r="G166" s="527"/>
      <c r="H166" s="968">
        <v>40</v>
      </c>
      <c r="I166" s="527" t="s">
        <v>796</v>
      </c>
      <c r="J166" s="527"/>
      <c r="K166" s="527"/>
      <c r="L166" s="527"/>
      <c r="M166" s="527"/>
      <c r="N166" s="982"/>
      <c r="O166" s="523"/>
      <c r="P166" s="495"/>
    </row>
    <row r="167" spans="1:17" x14ac:dyDescent="0.2">
      <c r="A167" s="5"/>
      <c r="B167" s="482">
        <v>72</v>
      </c>
      <c r="C167" s="1003" t="s">
        <v>3</v>
      </c>
      <c r="D167" s="527"/>
      <c r="E167" s="527"/>
      <c r="F167" s="527"/>
      <c r="G167" s="527"/>
      <c r="H167" s="968">
        <v>10</v>
      </c>
      <c r="I167" s="527" t="s">
        <v>796</v>
      </c>
      <c r="J167" s="527"/>
      <c r="K167" s="527"/>
      <c r="L167" s="527"/>
      <c r="M167" s="527"/>
      <c r="N167" s="982"/>
      <c r="O167" s="523"/>
      <c r="P167" s="495"/>
    </row>
    <row r="168" spans="1:17" x14ac:dyDescent="0.2">
      <c r="A168" s="5"/>
      <c r="B168" s="482">
        <v>73</v>
      </c>
      <c r="C168" s="1003" t="s">
        <v>619</v>
      </c>
      <c r="D168" s="527"/>
      <c r="E168" s="527"/>
      <c r="F168" s="527"/>
      <c r="G168" s="527"/>
      <c r="H168" s="968">
        <v>1</v>
      </c>
      <c r="I168" s="527" t="s">
        <v>795</v>
      </c>
      <c r="J168" s="527"/>
      <c r="K168" s="527"/>
      <c r="L168" s="527"/>
      <c r="M168" s="527"/>
      <c r="N168" s="982"/>
      <c r="O168" s="523"/>
      <c r="P168" s="495"/>
    </row>
    <row r="169" spans="1:17" x14ac:dyDescent="0.2">
      <c r="C169" s="1003"/>
      <c r="D169" s="527"/>
      <c r="E169" s="527"/>
      <c r="F169" s="527"/>
      <c r="G169" s="527"/>
      <c r="H169" s="527"/>
      <c r="I169" s="527"/>
      <c r="J169" s="527"/>
      <c r="K169" s="527"/>
      <c r="L169" s="527"/>
      <c r="M169" s="527"/>
      <c r="N169" s="982"/>
      <c r="O169" s="523"/>
      <c r="P169" s="495"/>
    </row>
    <row r="170" spans="1:17" ht="24" x14ac:dyDescent="0.2">
      <c r="C170" s="1003" t="s">
        <v>599</v>
      </c>
      <c r="D170" s="527"/>
      <c r="E170" s="527"/>
      <c r="F170" s="527"/>
      <c r="G170" s="527"/>
      <c r="H170" s="917" t="s">
        <v>601</v>
      </c>
      <c r="I170" s="535"/>
      <c r="J170" s="917" t="s">
        <v>600</v>
      </c>
      <c r="K170" s="535"/>
      <c r="L170" s="1004" t="s">
        <v>602</v>
      </c>
      <c r="M170" s="535"/>
      <c r="N170" s="922"/>
      <c r="O170" s="523"/>
      <c r="P170" s="495"/>
    </row>
    <row r="171" spans="1:17" x14ac:dyDescent="0.2">
      <c r="A171" s="5"/>
      <c r="B171" s="482">
        <v>74</v>
      </c>
      <c r="C171" s="1003" t="s">
        <v>596</v>
      </c>
      <c r="D171" s="527"/>
      <c r="E171" s="527"/>
      <c r="F171" s="527"/>
      <c r="G171" s="527"/>
      <c r="H171" s="941">
        <f>'Vivienda Objeto'!H171</f>
        <v>0</v>
      </c>
      <c r="I171" s="922"/>
      <c r="J171" s="1002">
        <v>0</v>
      </c>
      <c r="K171" s="922"/>
      <c r="L171" s="941">
        <f>'Vivienda Objeto'!N171</f>
        <v>0</v>
      </c>
      <c r="M171" s="922"/>
      <c r="N171" s="922"/>
      <c r="O171" s="523"/>
      <c r="P171" s="495"/>
    </row>
    <row r="172" spans="1:17" x14ac:dyDescent="0.2">
      <c r="A172" s="5"/>
      <c r="B172" s="482">
        <v>75</v>
      </c>
      <c r="C172" s="1003" t="s">
        <v>597</v>
      </c>
      <c r="D172" s="527"/>
      <c r="E172" s="527"/>
      <c r="F172" s="527"/>
      <c r="G172" s="527"/>
      <c r="H172" s="941">
        <f>'Vivienda Objeto'!H172</f>
        <v>0</v>
      </c>
      <c r="I172" s="922"/>
      <c r="J172" s="1002">
        <v>0</v>
      </c>
      <c r="K172" s="922"/>
      <c r="L172" s="941">
        <f>'Vivienda Objeto'!N172</f>
        <v>0</v>
      </c>
      <c r="M172" s="922"/>
      <c r="N172" s="922"/>
      <c r="O172" s="523"/>
      <c r="P172" s="495"/>
    </row>
    <row r="173" spans="1:17" x14ac:dyDescent="0.2">
      <c r="A173" s="5"/>
      <c r="B173" s="482">
        <v>76</v>
      </c>
      <c r="C173" s="1003" t="s">
        <v>598</v>
      </c>
      <c r="D173" s="527"/>
      <c r="E173" s="527"/>
      <c r="F173" s="527"/>
      <c r="G173" s="527"/>
      <c r="H173" s="941">
        <f>'Vivienda Objeto'!H173</f>
        <v>0</v>
      </c>
      <c r="I173" s="922"/>
      <c r="J173" s="1002">
        <v>0</v>
      </c>
      <c r="K173" s="922"/>
      <c r="L173" s="941">
        <f>'Vivienda Objeto'!N173</f>
        <v>0</v>
      </c>
      <c r="M173" s="922"/>
      <c r="N173" s="922"/>
      <c r="O173" s="523"/>
      <c r="P173" s="495"/>
    </row>
    <row r="174" spans="1:17" ht="8.25" customHeight="1" x14ac:dyDescent="0.2">
      <c r="B174" s="497"/>
      <c r="C174" s="1003"/>
      <c r="D174" s="527"/>
      <c r="E174" s="527"/>
      <c r="F174" s="527"/>
      <c r="G174" s="527"/>
      <c r="H174" s="982"/>
      <c r="I174" s="534"/>
      <c r="J174" s="924"/>
      <c r="K174" s="534"/>
      <c r="L174" s="534"/>
      <c r="M174" s="534"/>
      <c r="N174" s="982"/>
      <c r="O174" s="523"/>
      <c r="P174" s="495"/>
    </row>
    <row r="175" spans="1:17" x14ac:dyDescent="0.2">
      <c r="B175" s="497"/>
      <c r="C175" s="1003" t="s">
        <v>650</v>
      </c>
      <c r="D175" s="527"/>
      <c r="E175" s="527"/>
      <c r="F175" s="527"/>
      <c r="G175" s="527"/>
      <c r="H175" s="982"/>
      <c r="I175" s="534"/>
      <c r="J175" s="924"/>
      <c r="K175" s="534"/>
      <c r="L175" s="534"/>
      <c r="M175" s="534"/>
      <c r="N175" s="982"/>
      <c r="O175" s="523"/>
      <c r="P175" s="495"/>
    </row>
    <row r="176" spans="1:17" ht="6.75" customHeight="1" x14ac:dyDescent="0.2">
      <c r="C176" s="1003"/>
      <c r="D176" s="527"/>
      <c r="E176" s="527"/>
      <c r="F176" s="527"/>
      <c r="G176" s="527"/>
      <c r="H176" s="1005"/>
      <c r="I176" s="922"/>
      <c r="J176" s="922"/>
      <c r="K176" s="922"/>
      <c r="L176" s="922"/>
      <c r="M176" s="922"/>
      <c r="N176" s="982"/>
      <c r="O176" s="523"/>
      <c r="P176" s="495"/>
    </row>
    <row r="177" spans="1:16" x14ac:dyDescent="0.2">
      <c r="B177" s="482">
        <v>77</v>
      </c>
      <c r="C177" s="1003" t="s">
        <v>593</v>
      </c>
      <c r="D177" s="527"/>
      <c r="E177" s="527"/>
      <c r="F177" s="527"/>
      <c r="G177" s="527"/>
      <c r="H177" s="922"/>
      <c r="I177" s="922"/>
      <c r="J177" s="922"/>
      <c r="K177" s="922"/>
      <c r="L177" s="929">
        <f>'Vivienda Objeto'!N175</f>
        <v>0</v>
      </c>
      <c r="M177" s="527" t="s">
        <v>797</v>
      </c>
      <c r="N177" s="922"/>
      <c r="O177" s="523"/>
      <c r="P177" s="495"/>
    </row>
    <row r="178" spans="1:16" ht="13.5" thickBot="1" x14ac:dyDescent="0.25">
      <c r="B178" s="482">
        <v>78</v>
      </c>
      <c r="C178" s="1006" t="s">
        <v>594</v>
      </c>
      <c r="D178" s="1007"/>
      <c r="E178" s="1007"/>
      <c r="F178" s="1007"/>
      <c r="G178" s="1007"/>
      <c r="H178" s="1008"/>
      <c r="I178" s="1008"/>
      <c r="J178" s="1008"/>
      <c r="K178" s="1008"/>
      <c r="L178" s="1009">
        <f>'Vivienda Objeto'!N176</f>
        <v>0</v>
      </c>
      <c r="M178" s="1007" t="s">
        <v>797</v>
      </c>
      <c r="N178" s="1008"/>
      <c r="O178" s="524"/>
      <c r="P178" s="559"/>
    </row>
    <row r="179" spans="1:16" x14ac:dyDescent="0.2">
      <c r="B179" s="478"/>
      <c r="C179" s="551"/>
      <c r="D179" s="476"/>
      <c r="E179" s="476"/>
      <c r="F179" s="476"/>
      <c r="G179" s="476"/>
      <c r="H179" s="476"/>
      <c r="I179" s="476"/>
      <c r="J179" s="476"/>
      <c r="K179" s="476"/>
      <c r="L179" s="476"/>
      <c r="M179" s="476"/>
      <c r="N179" s="499"/>
      <c r="O179" s="476"/>
      <c r="P179" s="495"/>
    </row>
    <row r="180" spans="1:16" ht="5.25" customHeight="1" x14ac:dyDescent="0.2">
      <c r="B180" s="478"/>
      <c r="C180" s="474"/>
      <c r="D180" s="476"/>
      <c r="E180" s="476"/>
      <c r="F180" s="476"/>
      <c r="G180" s="476"/>
      <c r="H180" s="476"/>
      <c r="I180" s="476"/>
      <c r="J180" s="476"/>
      <c r="K180" s="476"/>
      <c r="L180" s="476"/>
      <c r="M180" s="476"/>
      <c r="N180" s="499"/>
      <c r="O180" s="476"/>
      <c r="P180" s="495"/>
    </row>
    <row r="181" spans="1:16" x14ac:dyDescent="0.2">
      <c r="B181" s="591">
        <v>79</v>
      </c>
      <c r="C181" s="976" t="s">
        <v>709</v>
      </c>
      <c r="D181" s="475"/>
      <c r="E181" s="475"/>
      <c r="F181" s="475"/>
      <c r="G181" s="475"/>
      <c r="H181" s="475"/>
      <c r="I181" s="475"/>
      <c r="J181" s="475"/>
      <c r="K181" s="829">
        <f>'R1'!D145</f>
        <v>1</v>
      </c>
      <c r="L181" s="475"/>
      <c r="M181" s="563">
        <f>'R1'!D145</f>
        <v>1</v>
      </c>
      <c r="N181" s="500"/>
      <c r="O181" s="476"/>
      <c r="P181" s="495"/>
    </row>
    <row r="182" spans="1:16" ht="13.5" thickBot="1" x14ac:dyDescent="0.25">
      <c r="B182" s="478"/>
      <c r="C182" s="552"/>
      <c r="D182" s="24"/>
      <c r="E182" s="24"/>
      <c r="F182" s="24"/>
      <c r="G182" s="24"/>
      <c r="H182" s="24"/>
      <c r="I182" s="24"/>
      <c r="J182" s="24"/>
      <c r="K182" s="24"/>
      <c r="L182" s="24"/>
      <c r="M182" s="24"/>
      <c r="N182" s="499"/>
      <c r="O182" s="476"/>
      <c r="P182" s="495"/>
    </row>
    <row r="183" spans="1:16" x14ac:dyDescent="0.2">
      <c r="B183" s="478"/>
      <c r="C183" s="560" t="s">
        <v>833</v>
      </c>
      <c r="D183" s="561"/>
      <c r="E183" s="561"/>
      <c r="F183" s="561"/>
      <c r="G183" s="561"/>
      <c r="H183" s="561"/>
      <c r="I183" s="561"/>
      <c r="J183" s="561"/>
      <c r="K183" s="561"/>
      <c r="L183" s="561"/>
      <c r="M183" s="561"/>
      <c r="N183" s="562"/>
      <c r="O183" s="557"/>
      <c r="P183" s="495"/>
    </row>
    <row r="184" spans="1:16" x14ac:dyDescent="0.2">
      <c r="C184" s="466"/>
      <c r="D184" s="24"/>
      <c r="E184" s="24"/>
      <c r="F184" s="24"/>
      <c r="G184" s="24"/>
      <c r="H184" s="24"/>
      <c r="I184" s="24"/>
      <c r="J184" s="24"/>
      <c r="K184" s="24"/>
      <c r="L184" s="24"/>
      <c r="M184" s="24"/>
      <c r="N184" s="525"/>
      <c r="O184" s="523"/>
      <c r="P184" s="495"/>
    </row>
    <row r="185" spans="1:16" ht="14.25" x14ac:dyDescent="0.2">
      <c r="B185" s="909">
        <v>80</v>
      </c>
      <c r="C185" s="987" t="s">
        <v>622</v>
      </c>
      <c r="D185" s="975"/>
      <c r="E185" s="975"/>
      <c r="F185" s="975"/>
      <c r="G185" s="975"/>
      <c r="H185" s="1010">
        <v>3</v>
      </c>
      <c r="I185" s="648" t="s">
        <v>1125</v>
      </c>
      <c r="J185" s="648"/>
      <c r="K185" s="648"/>
      <c r="L185" s="648"/>
      <c r="M185" s="648"/>
      <c r="N185" s="982"/>
      <c r="O185" s="1011"/>
      <c r="P185" s="495"/>
    </row>
    <row r="186" spans="1:16" x14ac:dyDescent="0.2">
      <c r="B186" s="909">
        <v>81</v>
      </c>
      <c r="C186" s="987" t="s">
        <v>725</v>
      </c>
      <c r="D186" s="975"/>
      <c r="E186" s="975"/>
      <c r="F186" s="975"/>
      <c r="G186" s="975"/>
      <c r="H186" s="1010">
        <v>40</v>
      </c>
      <c r="I186" s="648" t="s">
        <v>796</v>
      </c>
      <c r="J186" s="648"/>
      <c r="K186" s="648"/>
      <c r="L186" s="648"/>
      <c r="M186" s="648"/>
      <c r="N186" s="982"/>
      <c r="O186" s="1011"/>
      <c r="P186" s="495"/>
    </row>
    <row r="187" spans="1:16" x14ac:dyDescent="0.2">
      <c r="B187" s="909">
        <v>82</v>
      </c>
      <c r="C187" s="987" t="s">
        <v>7</v>
      </c>
      <c r="D187" s="975"/>
      <c r="E187" s="975"/>
      <c r="F187" s="975"/>
      <c r="G187" s="975"/>
      <c r="H187" s="1010">
        <v>10</v>
      </c>
      <c r="I187" s="648" t="s">
        <v>6</v>
      </c>
      <c r="J187" s="648"/>
      <c r="K187" s="648"/>
      <c r="L187" s="648"/>
      <c r="M187" s="648"/>
      <c r="N187" s="982"/>
      <c r="O187" s="1011"/>
      <c r="P187" s="495"/>
    </row>
    <row r="188" spans="1:16" x14ac:dyDescent="0.2">
      <c r="A188" s="5"/>
      <c r="B188" s="909">
        <v>83</v>
      </c>
      <c r="C188" s="987" t="s">
        <v>624</v>
      </c>
      <c r="D188" s="975"/>
      <c r="E188" s="975"/>
      <c r="F188" s="975"/>
      <c r="G188" s="975"/>
      <c r="H188" s="1076">
        <v>0.5</v>
      </c>
      <c r="I188" s="1012" t="s">
        <v>795</v>
      </c>
      <c r="J188" s="1012"/>
      <c r="K188" s="1012"/>
      <c r="L188" s="1012"/>
      <c r="M188" s="1012"/>
      <c r="N188" s="982"/>
      <c r="O188" s="1011"/>
      <c r="P188" s="495"/>
    </row>
    <row r="189" spans="1:16" x14ac:dyDescent="0.2">
      <c r="B189" s="870"/>
      <c r="C189" s="987"/>
      <c r="D189" s="975"/>
      <c r="E189" s="975"/>
      <c r="F189" s="975"/>
      <c r="G189" s="975"/>
      <c r="H189" s="1013"/>
      <c r="I189" s="1012"/>
      <c r="J189" s="1012"/>
      <c r="K189" s="1012"/>
      <c r="L189" s="1012"/>
      <c r="M189" s="1012"/>
      <c r="N189" s="982"/>
      <c r="O189" s="1011"/>
      <c r="P189" s="495"/>
    </row>
    <row r="190" spans="1:16" x14ac:dyDescent="0.2">
      <c r="A190" s="5"/>
      <c r="B190" s="909">
        <v>84</v>
      </c>
      <c r="C190" s="987" t="s">
        <v>726</v>
      </c>
      <c r="D190" s="975"/>
      <c r="E190" s="975"/>
      <c r="F190" s="975"/>
      <c r="G190" s="975"/>
      <c r="H190" s="1078">
        <v>0.14000000000000001</v>
      </c>
      <c r="I190" s="648" t="s">
        <v>795</v>
      </c>
      <c r="J190" s="648"/>
      <c r="K190" s="648"/>
      <c r="L190" s="648"/>
      <c r="M190" s="648"/>
      <c r="N190" s="982"/>
      <c r="O190" s="1011"/>
      <c r="P190" s="495"/>
    </row>
    <row r="191" spans="1:16" x14ac:dyDescent="0.2">
      <c r="B191" s="870"/>
      <c r="C191" s="987"/>
      <c r="D191" s="975"/>
      <c r="E191" s="975"/>
      <c r="F191" s="975"/>
      <c r="G191" s="975"/>
      <c r="H191" s="1014"/>
      <c r="I191" s="648"/>
      <c r="J191" s="648"/>
      <c r="K191" s="648"/>
      <c r="L191" s="648"/>
      <c r="M191" s="648"/>
      <c r="N191" s="982"/>
      <c r="O191" s="1011"/>
      <c r="P191" s="495"/>
    </row>
    <row r="192" spans="1:16" x14ac:dyDescent="0.2">
      <c r="A192" s="5"/>
      <c r="B192" s="909">
        <v>85</v>
      </c>
      <c r="C192" s="987" t="s">
        <v>627</v>
      </c>
      <c r="D192" s="975"/>
      <c r="E192" s="975"/>
      <c r="F192" s="975"/>
      <c r="G192" s="975"/>
      <c r="H192" s="648"/>
      <c r="I192" s="648"/>
      <c r="J192" s="648"/>
      <c r="K192" s="648"/>
      <c r="L192" s="1079">
        <f>'R5'!K5</f>
        <v>0</v>
      </c>
      <c r="M192" s="1011" t="s">
        <v>797</v>
      </c>
      <c r="N192" s="1015"/>
      <c r="O192" s="1011"/>
      <c r="P192" s="495"/>
    </row>
    <row r="193" spans="1:18" ht="7.5" customHeight="1" thickBot="1" x14ac:dyDescent="0.25">
      <c r="C193" s="553"/>
      <c r="D193" s="25"/>
      <c r="E193" s="25"/>
      <c r="F193" s="25"/>
      <c r="G193" s="25"/>
      <c r="H193" s="25"/>
      <c r="I193" s="25"/>
      <c r="J193" s="25"/>
      <c r="K193" s="25"/>
      <c r="L193" s="25"/>
      <c r="M193" s="25"/>
      <c r="N193" s="540"/>
      <c r="O193" s="524"/>
      <c r="P193" s="495"/>
    </row>
    <row r="194" spans="1:18" ht="5.25" customHeight="1" x14ac:dyDescent="0.2">
      <c r="B194" s="478"/>
      <c r="C194" s="554"/>
      <c r="D194" s="490"/>
      <c r="E194" s="490"/>
      <c r="F194" s="490"/>
      <c r="G194" s="490"/>
      <c r="H194" s="490"/>
      <c r="I194" s="490"/>
      <c r="J194" s="490"/>
      <c r="K194" s="490"/>
      <c r="L194" s="490"/>
      <c r="M194" s="490"/>
      <c r="N194" s="502"/>
      <c r="O194" s="529"/>
      <c r="P194" s="496"/>
    </row>
    <row r="195" spans="1:18" x14ac:dyDescent="0.2">
      <c r="B195" s="478"/>
      <c r="C195" s="191"/>
    </row>
    <row r="196" spans="1:18" ht="18" x14ac:dyDescent="0.25">
      <c r="B196" s="478"/>
      <c r="C196" s="753" t="s">
        <v>896</v>
      </c>
      <c r="D196" s="471"/>
      <c r="E196" s="471"/>
      <c r="F196" s="471"/>
      <c r="G196" s="471"/>
      <c r="H196" s="471"/>
      <c r="I196" s="471"/>
      <c r="J196" s="471"/>
      <c r="K196" s="471"/>
      <c r="L196" s="471"/>
      <c r="M196" s="471"/>
      <c r="N196" s="533"/>
      <c r="O196" s="758"/>
      <c r="P196" s="473"/>
    </row>
    <row r="197" spans="1:18" x14ac:dyDescent="0.2">
      <c r="B197" s="638">
        <v>86</v>
      </c>
      <c r="C197" s="760" t="s">
        <v>897</v>
      </c>
      <c r="D197" s="761"/>
      <c r="E197" s="761"/>
      <c r="F197" s="761"/>
      <c r="G197" s="761"/>
      <c r="H197" s="761"/>
      <c r="I197" s="761"/>
      <c r="J197" s="568">
        <f>'Vivienda Objeto'!N176</f>
        <v>0</v>
      </c>
      <c r="K197" s="761"/>
      <c r="L197" s="761" t="s">
        <v>862</v>
      </c>
      <c r="M197" s="762"/>
      <c r="N197" s="568">
        <f>'Vivienda Objeto'!N178</f>
        <v>0</v>
      </c>
      <c r="O197" s="761" t="s">
        <v>291</v>
      </c>
      <c r="P197" s="763"/>
    </row>
    <row r="198" spans="1:18" x14ac:dyDescent="0.2">
      <c r="B198" s="638">
        <v>87</v>
      </c>
      <c r="C198" s="564" t="s">
        <v>898</v>
      </c>
      <c r="D198" s="565"/>
      <c r="E198" s="565"/>
      <c r="F198" s="565"/>
      <c r="G198" s="565"/>
      <c r="H198" s="565"/>
      <c r="I198" s="565"/>
      <c r="J198" s="568">
        <f>'Vivienda Objeto'!N175</f>
        <v>0</v>
      </c>
      <c r="K198" s="565"/>
      <c r="L198" s="565" t="s">
        <v>862</v>
      </c>
      <c r="M198" s="566"/>
      <c r="N198" s="568">
        <f>'Vivienda Objeto'!N203</f>
        <v>0</v>
      </c>
      <c r="O198" s="565" t="s">
        <v>291</v>
      </c>
      <c r="P198" s="567"/>
      <c r="R198" s="575"/>
    </row>
    <row r="199" spans="1:18" x14ac:dyDescent="0.2">
      <c r="B199" s="638">
        <v>88</v>
      </c>
      <c r="C199" s="564" t="s">
        <v>899</v>
      </c>
      <c r="D199" s="565"/>
      <c r="E199" s="565"/>
      <c r="F199" s="565"/>
      <c r="G199" s="565"/>
      <c r="H199" s="565"/>
      <c r="I199" s="565"/>
      <c r="J199" s="568">
        <f>'Vivienda Objeto'!N219</f>
        <v>0</v>
      </c>
      <c r="K199" s="565"/>
      <c r="L199" s="565" t="s">
        <v>862</v>
      </c>
      <c r="M199" s="566"/>
      <c r="N199" s="568">
        <f>'Vivienda Objeto'!N221</f>
        <v>0</v>
      </c>
      <c r="O199" s="565" t="s">
        <v>291</v>
      </c>
      <c r="P199" s="567"/>
    </row>
    <row r="200" spans="1:18" x14ac:dyDescent="0.2">
      <c r="B200" s="592"/>
      <c r="C200" s="569"/>
      <c r="D200" s="566"/>
      <c r="E200" s="566"/>
      <c r="F200" s="566"/>
      <c r="G200" s="566"/>
      <c r="H200" s="566"/>
      <c r="I200" s="566"/>
      <c r="J200" s="570"/>
      <c r="K200" s="566"/>
      <c r="L200" s="566"/>
      <c r="M200" s="566"/>
      <c r="N200" s="570"/>
      <c r="O200" s="565"/>
      <c r="P200" s="567"/>
    </row>
    <row r="201" spans="1:18" ht="13.5" x14ac:dyDescent="0.2">
      <c r="A201" s="5"/>
      <c r="B201" s="638">
        <v>89</v>
      </c>
      <c r="C201" s="564" t="s">
        <v>900</v>
      </c>
      <c r="D201" s="565"/>
      <c r="E201" s="565"/>
      <c r="F201" s="565"/>
      <c r="G201" s="565"/>
      <c r="H201" s="565"/>
      <c r="I201" s="565"/>
      <c r="J201" s="568">
        <f>'Vivienda Objeto'!L241</f>
        <v>198.03644936287671</v>
      </c>
      <c r="K201" s="565"/>
      <c r="L201" s="565" t="s">
        <v>885</v>
      </c>
      <c r="M201" s="565"/>
      <c r="N201" s="571"/>
      <c r="O201" s="565"/>
      <c r="P201" s="567"/>
    </row>
    <row r="202" spans="1:18" ht="13.5" x14ac:dyDescent="0.2">
      <c r="A202" s="5"/>
      <c r="B202" s="638">
        <v>90</v>
      </c>
      <c r="C202" s="564" t="s">
        <v>901</v>
      </c>
      <c r="D202" s="565"/>
      <c r="E202" s="565"/>
      <c r="F202" s="565"/>
      <c r="G202" s="565"/>
      <c r="H202" s="565"/>
      <c r="I202" s="565"/>
      <c r="J202" s="568">
        <f>'Vivienda Objeto'!L242</f>
        <v>38.625358902272382</v>
      </c>
      <c r="K202" s="565"/>
      <c r="L202" s="565" t="s">
        <v>885</v>
      </c>
      <c r="M202" s="565"/>
      <c r="N202" s="571"/>
      <c r="O202" s="565"/>
      <c r="P202" s="567"/>
    </row>
    <row r="203" spans="1:18" ht="13.5" x14ac:dyDescent="0.2">
      <c r="A203" s="5"/>
      <c r="B203" s="638">
        <v>91</v>
      </c>
      <c r="C203" s="564" t="s">
        <v>902</v>
      </c>
      <c r="D203" s="565"/>
      <c r="E203" s="565"/>
      <c r="F203" s="565"/>
      <c r="G203" s="565"/>
      <c r="H203" s="565"/>
      <c r="I203" s="565"/>
      <c r="J203" s="568">
        <f>'Vivienda Objeto'!L243</f>
        <v>11.313556752715908</v>
      </c>
      <c r="K203" s="565"/>
      <c r="L203" s="565" t="s">
        <v>885</v>
      </c>
      <c r="M203" s="565"/>
      <c r="N203" s="571"/>
      <c r="O203" s="565"/>
      <c r="P203" s="567"/>
    </row>
    <row r="204" spans="1:18" x14ac:dyDescent="0.2">
      <c r="B204" s="592"/>
      <c r="C204" s="564"/>
      <c r="D204" s="565"/>
      <c r="E204" s="565"/>
      <c r="F204" s="565"/>
      <c r="G204" s="565"/>
      <c r="H204" s="565"/>
      <c r="I204" s="565"/>
      <c r="J204" s="571"/>
      <c r="K204" s="565"/>
      <c r="L204" s="565"/>
      <c r="M204" s="565"/>
      <c r="N204" s="571"/>
      <c r="O204" s="565"/>
      <c r="P204" s="567"/>
    </row>
    <row r="205" spans="1:18" ht="13.5" x14ac:dyDescent="0.2">
      <c r="A205" s="5"/>
      <c r="B205" s="638">
        <v>92</v>
      </c>
      <c r="C205" s="564" t="s">
        <v>903</v>
      </c>
      <c r="D205" s="565"/>
      <c r="E205" s="565"/>
      <c r="F205" s="565"/>
      <c r="G205" s="565"/>
      <c r="H205" s="565"/>
      <c r="I205" s="565"/>
      <c r="J205" s="568">
        <f>'Vivienda Objeto'!L245</f>
        <v>247.97536501786499</v>
      </c>
      <c r="K205" s="565"/>
      <c r="L205" s="565" t="s">
        <v>885</v>
      </c>
      <c r="M205" s="565"/>
      <c r="N205" s="571"/>
      <c r="O205" s="565"/>
      <c r="P205" s="567"/>
      <c r="Q205" s="818"/>
    </row>
    <row r="206" spans="1:18" x14ac:dyDescent="0.2">
      <c r="B206" s="638">
        <v>93</v>
      </c>
      <c r="C206" s="564" t="s">
        <v>937</v>
      </c>
      <c r="D206" s="565"/>
      <c r="E206" s="565"/>
      <c r="F206" s="565"/>
      <c r="G206" s="565"/>
      <c r="H206" s="565"/>
      <c r="I206" s="565"/>
      <c r="J206" s="1017">
        <f>'Vivienda Objeto'!D274</f>
        <v>80.83014621663142</v>
      </c>
      <c r="K206" s="565"/>
      <c r="L206" s="565" t="s">
        <v>232</v>
      </c>
      <c r="M206" s="565"/>
      <c r="N206" s="571"/>
      <c r="O206" s="565"/>
      <c r="P206" s="764"/>
      <c r="Q206" s="818"/>
    </row>
    <row r="207" spans="1:18" ht="13.5" x14ac:dyDescent="0.2">
      <c r="B207" s="638">
        <v>94</v>
      </c>
      <c r="C207" s="572" t="s">
        <v>761</v>
      </c>
      <c r="D207" s="573"/>
      <c r="E207" s="573"/>
      <c r="F207" s="573"/>
      <c r="G207" s="573"/>
      <c r="H207" s="573"/>
      <c r="I207" s="573"/>
      <c r="J207" s="1018">
        <f>Referencia!K101</f>
        <v>306.78574346911444</v>
      </c>
      <c r="K207" s="573"/>
      <c r="L207" s="565" t="s">
        <v>885</v>
      </c>
      <c r="M207" s="573"/>
      <c r="N207" s="574"/>
      <c r="O207" s="573"/>
      <c r="P207" s="765"/>
      <c r="Q207" s="819"/>
      <c r="R207" s="11"/>
    </row>
    <row r="208" spans="1:18" s="11" customFormat="1" x14ac:dyDescent="0.2">
      <c r="B208" s="759"/>
      <c r="C208" s="190"/>
      <c r="D208" s="12"/>
      <c r="E208" s="12"/>
      <c r="F208" s="12"/>
      <c r="G208" s="12"/>
      <c r="H208" s="12"/>
      <c r="I208" s="12"/>
      <c r="J208" s="12"/>
      <c r="K208" s="12"/>
      <c r="L208" s="12"/>
      <c r="M208" s="12"/>
      <c r="N208" s="532"/>
      <c r="O208" s="507"/>
    </row>
    <row r="209" spans="1:17" ht="18" x14ac:dyDescent="0.25">
      <c r="C209" s="753" t="s">
        <v>512</v>
      </c>
      <c r="D209" s="754"/>
      <c r="E209" s="754"/>
      <c r="F209" s="754"/>
      <c r="G209" s="754"/>
      <c r="H209" s="754"/>
      <c r="I209" s="754"/>
      <c r="J209" s="754"/>
      <c r="K209" s="754"/>
      <c r="L209" s="754"/>
      <c r="M209" s="754"/>
      <c r="N209" s="755"/>
      <c r="O209" s="756"/>
      <c r="P209" s="473"/>
    </row>
    <row r="210" spans="1:17" s="11" customFormat="1" ht="7.5" customHeight="1" x14ac:dyDescent="0.25">
      <c r="B210" s="477"/>
      <c r="C210" s="1016"/>
      <c r="D210" s="19"/>
      <c r="E210" s="19"/>
      <c r="F210" s="19"/>
      <c r="G210" s="19"/>
      <c r="H210" s="19"/>
      <c r="I210" s="19"/>
      <c r="J210" s="19"/>
      <c r="K210" s="3"/>
      <c r="L210" s="3"/>
      <c r="M210" s="3"/>
      <c r="N210" s="500"/>
      <c r="O210" s="475"/>
      <c r="P210" s="469"/>
    </row>
    <row r="211" spans="1:17" s="210" customFormat="1" ht="24" x14ac:dyDescent="0.2">
      <c r="B211" s="580"/>
      <c r="C211" s="1277" t="s">
        <v>630</v>
      </c>
      <c r="D211" s="1278"/>
      <c r="E211" s="918"/>
      <c r="F211" s="1019" t="s">
        <v>636</v>
      </c>
      <c r="G211" s="932"/>
      <c r="H211" s="932"/>
      <c r="I211" s="932"/>
      <c r="J211" s="932"/>
      <c r="K211" s="514"/>
      <c r="L211" s="514"/>
      <c r="M211" s="514"/>
      <c r="N211" s="513"/>
      <c r="O211" s="513"/>
      <c r="P211" s="582"/>
    </row>
    <row r="212" spans="1:17" ht="15" customHeight="1" x14ac:dyDescent="0.2">
      <c r="B212" s="482">
        <v>95</v>
      </c>
      <c r="C212" s="1275" t="s">
        <v>631</v>
      </c>
      <c r="D212" s="1276"/>
      <c r="E212" s="527"/>
      <c r="F212" s="1020">
        <v>0.5</v>
      </c>
      <c r="G212" s="936"/>
      <c r="H212" s="648"/>
      <c r="I212" s="648"/>
      <c r="J212" s="648"/>
      <c r="K212" s="24"/>
      <c r="L212" s="24"/>
      <c r="M212" s="24"/>
      <c r="N212" s="499"/>
      <c r="O212" s="476"/>
      <c r="P212" s="495"/>
      <c r="Q212" s="818"/>
    </row>
    <row r="213" spans="1:17" ht="15" customHeight="1" x14ac:dyDescent="0.2">
      <c r="B213" s="482">
        <v>96</v>
      </c>
      <c r="C213" s="1275" t="s">
        <v>633</v>
      </c>
      <c r="D213" s="1276"/>
      <c r="E213" s="527"/>
      <c r="F213" s="1020">
        <v>1</v>
      </c>
      <c r="G213" s="936"/>
      <c r="H213" s="648"/>
      <c r="I213" s="648"/>
      <c r="J213" s="648"/>
      <c r="K213" s="24"/>
      <c r="L213" s="24"/>
      <c r="M213" s="24"/>
      <c r="N213" s="499"/>
      <c r="O213" s="476"/>
      <c r="P213" s="495"/>
      <c r="Q213" s="818"/>
    </row>
    <row r="214" spans="1:17" ht="15" customHeight="1" x14ac:dyDescent="0.2">
      <c r="B214" s="482">
        <v>97</v>
      </c>
      <c r="C214" s="1275" t="s">
        <v>727</v>
      </c>
      <c r="D214" s="1276"/>
      <c r="E214" s="527"/>
      <c r="F214" s="1020">
        <v>0.5</v>
      </c>
      <c r="G214" s="936"/>
      <c r="H214" s="648"/>
      <c r="I214" s="648"/>
      <c r="J214" s="648"/>
      <c r="K214" s="24"/>
      <c r="L214" s="24"/>
      <c r="M214" s="24"/>
      <c r="N214" s="499"/>
      <c r="O214" s="476"/>
      <c r="P214" s="495"/>
      <c r="Q214" s="818"/>
    </row>
    <row r="215" spans="1:17" ht="15" customHeight="1" x14ac:dyDescent="0.2">
      <c r="A215" s="5"/>
      <c r="B215" s="482">
        <v>98</v>
      </c>
      <c r="C215" s="1275" t="s">
        <v>728</v>
      </c>
      <c r="D215" s="1276"/>
      <c r="E215" s="527"/>
      <c r="F215" s="1020"/>
      <c r="G215" s="936"/>
      <c r="H215" s="648"/>
      <c r="I215" s="648"/>
      <c r="J215" s="648"/>
      <c r="K215" s="24"/>
      <c r="L215" s="24"/>
      <c r="M215" s="24"/>
      <c r="N215" s="499"/>
      <c r="O215" s="476"/>
      <c r="P215" s="495"/>
    </row>
    <row r="216" spans="1:17" ht="15" customHeight="1" x14ac:dyDescent="0.2">
      <c r="A216" s="5"/>
      <c r="B216" s="482">
        <v>99</v>
      </c>
      <c r="C216" s="1275" t="s">
        <v>729</v>
      </c>
      <c r="D216" s="1276"/>
      <c r="E216" s="527"/>
      <c r="F216" s="1020"/>
      <c r="G216" s="936"/>
      <c r="H216" s="648"/>
      <c r="I216" s="648"/>
      <c r="J216" s="648"/>
      <c r="K216" s="24"/>
      <c r="L216" s="24"/>
      <c r="M216" s="24"/>
      <c r="N216" s="499"/>
      <c r="O216" s="476"/>
      <c r="P216" s="495"/>
    </row>
    <row r="217" spans="1:17" ht="6.75" customHeight="1" x14ac:dyDescent="0.2">
      <c r="C217" s="576"/>
      <c r="D217" s="577"/>
      <c r="E217" s="490"/>
      <c r="F217" s="578"/>
      <c r="G217" s="579"/>
      <c r="H217" s="578"/>
      <c r="I217" s="490"/>
      <c r="J217" s="490"/>
      <c r="K217" s="490"/>
      <c r="L217" s="490"/>
      <c r="M217" s="490"/>
      <c r="N217" s="502"/>
      <c r="O217" s="529"/>
      <c r="P217" s="496"/>
    </row>
    <row r="218" spans="1:17" x14ac:dyDescent="0.2">
      <c r="C218" s="376"/>
      <c r="D218" s="375"/>
      <c r="F218" s="226"/>
      <c r="G218" s="227"/>
      <c r="H218" s="226"/>
    </row>
    <row r="219" spans="1:17" ht="39.75" customHeight="1" x14ac:dyDescent="0.2">
      <c r="C219" s="455"/>
      <c r="D219" s="455"/>
      <c r="E219" s="455"/>
      <c r="F219" s="455"/>
      <c r="G219" s="455"/>
      <c r="H219" s="455"/>
      <c r="I219" s="455"/>
      <c r="J219" s="455"/>
      <c r="K219" s="455"/>
      <c r="L219" s="455"/>
      <c r="M219" s="455"/>
      <c r="N219" s="541"/>
      <c r="O219" s="549"/>
      <c r="P219" s="458"/>
    </row>
  </sheetData>
  <sheetProtection password="EE37" sheet="1" objects="1" scenarios="1"/>
  <customSheetViews>
    <customSheetView guid="{2239797F-3020-4364-93B0-F22DAADF645D}" scale="130" showGridLines="0" showRowCol="0" outlineSymbols="0" zeroValues="0" fitToPage="1" showRuler="0" topLeftCell="A43">
      <selection activeCell="F46" sqref="F46 F25:F32"/>
      <pageMargins left="0.7" right="0.7" top="0.75" bottom="0.75" header="0.3" footer="0.3"/>
      <pageSetup scale="73" fitToHeight="3" orientation="portrait" horizontalDpi="300" verticalDpi="300"/>
      <headerFooter alignWithMargins="0"/>
    </customSheetView>
  </customSheetViews>
  <mergeCells count="32">
    <mergeCell ref="E42:O42"/>
    <mergeCell ref="D34:O34"/>
    <mergeCell ref="D35:O35"/>
    <mergeCell ref="D37:O37"/>
    <mergeCell ref="E41:O41"/>
    <mergeCell ref="C216:D216"/>
    <mergeCell ref="C211:D211"/>
    <mergeCell ref="C212:D212"/>
    <mergeCell ref="C213:D213"/>
    <mergeCell ref="C214:D214"/>
    <mergeCell ref="C215:D215"/>
    <mergeCell ref="C24:D24"/>
    <mergeCell ref="C20:D20"/>
    <mergeCell ref="G20:O20"/>
    <mergeCell ref="G24:I24"/>
    <mergeCell ref="D36:O36"/>
    <mergeCell ref="G26:K26"/>
    <mergeCell ref="G22:I22"/>
    <mergeCell ref="G23:I23"/>
    <mergeCell ref="G27:K27"/>
    <mergeCell ref="D31:O31"/>
    <mergeCell ref="D32:O32"/>
    <mergeCell ref="D33:O33"/>
    <mergeCell ref="G21:O21"/>
    <mergeCell ref="C8:D8"/>
    <mergeCell ref="G13:O13"/>
    <mergeCell ref="G19:O19"/>
    <mergeCell ref="G14:O14"/>
    <mergeCell ref="G15:O15"/>
    <mergeCell ref="G18:O18"/>
    <mergeCell ref="F10:H10"/>
    <mergeCell ref="F11:H11"/>
  </mergeCells>
  <phoneticPr fontId="7" type="noConversion"/>
  <conditionalFormatting sqref="F86">
    <cfRule type="cellIs" dxfId="83" priority="22" stopIfTrue="1" operator="lessThan">
      <formula>D62+D63+D64-0.1</formula>
    </cfRule>
    <cfRule type="cellIs" dxfId="82" priority="23" stopIfTrue="1" operator="greaterThan">
      <formula>D62+D63+D64+0.1</formula>
    </cfRule>
  </conditionalFormatting>
  <conditionalFormatting sqref="F71">
    <cfRule type="cellIs" dxfId="81" priority="16" stopIfTrue="1" operator="greaterThan">
      <formula>$H$69</formula>
    </cfRule>
  </conditionalFormatting>
  <conditionalFormatting sqref="F65">
    <cfRule type="cellIs" dxfId="80" priority="17" stopIfTrue="1" operator="greaterThan">
      <formula>$H$65</formula>
    </cfRule>
  </conditionalFormatting>
  <conditionalFormatting sqref="F70">
    <cfRule type="cellIs" dxfId="79" priority="21" stopIfTrue="1" operator="greaterThan">
      <formula>$H$70</formula>
    </cfRule>
  </conditionalFormatting>
  <conditionalFormatting sqref="C97:O97 I94:P96 H94">
    <cfRule type="expression" dxfId="78" priority="30" stopIfTrue="1">
      <formula>$J$91=1</formula>
    </cfRule>
  </conditionalFormatting>
  <conditionalFormatting sqref="C163:G178 H169:H178 H163:H164 I163:I178 M163:O178 J163:L170 J174:L178">
    <cfRule type="expression" dxfId="77" priority="31" stopIfTrue="1">
      <formula>$K$160=1</formula>
    </cfRule>
  </conditionalFormatting>
  <conditionalFormatting sqref="C183:G193 H191:H193 H183:H184 I183:K193 M183:O193 L183:L191 L193">
    <cfRule type="expression" dxfId="76" priority="32" stopIfTrue="1">
      <formula>$M$181=1</formula>
    </cfRule>
  </conditionalFormatting>
  <conditionalFormatting sqref="C112:P134">
    <cfRule type="expression" dxfId="75" priority="33" stopIfTrue="1">
      <formula>$P$106=1</formula>
    </cfRule>
  </conditionalFormatting>
  <conditionalFormatting sqref="C106">
    <cfRule type="expression" dxfId="74" priority="34" stopIfTrue="1">
      <formula>$P$106=0</formula>
    </cfRule>
  </conditionalFormatting>
  <conditionalFormatting sqref="J64:J65">
    <cfRule type="expression" dxfId="73" priority="48" stopIfTrue="1">
      <formula>$K$63&gt;0.7</formula>
    </cfRule>
  </conditionalFormatting>
  <conditionalFormatting sqref="C94:G96">
    <cfRule type="expression" dxfId="72" priority="49" stopIfTrue="1">
      <formula>$J$91=1</formula>
    </cfRule>
  </conditionalFormatting>
  <conditionalFormatting sqref="H102:H103">
    <cfRule type="expression" dxfId="71" priority="50" stopIfTrue="1">
      <formula>$J$91=2</formula>
    </cfRule>
  </conditionalFormatting>
  <conditionalFormatting sqref="H165:H167">
    <cfRule type="expression" dxfId="70" priority="51" stopIfTrue="1">
      <formula>$J$160=3</formula>
    </cfRule>
  </conditionalFormatting>
  <conditionalFormatting sqref="K171:L173">
    <cfRule type="expression" dxfId="69" priority="52" stopIfTrue="1">
      <formula>$K$160=1</formula>
    </cfRule>
  </conditionalFormatting>
  <conditionalFormatting sqref="H185:H190">
    <cfRule type="expression" dxfId="68" priority="53" stopIfTrue="1">
      <formula>$K$181=1</formula>
    </cfRule>
  </conditionalFormatting>
  <conditionalFormatting sqref="L192">
    <cfRule type="expression" dxfId="67" priority="54" stopIfTrue="1">
      <formula>$M$181=1</formula>
    </cfRule>
  </conditionalFormatting>
  <conditionalFormatting sqref="H95:H96">
    <cfRule type="expression" dxfId="66" priority="55" stopIfTrue="1">
      <formula>$J$91=1</formula>
    </cfRule>
  </conditionalFormatting>
  <conditionalFormatting sqref="F68">
    <cfRule type="cellIs" dxfId="65" priority="9" stopIfTrue="1" operator="greaterThan">
      <formula>$H$68</formula>
    </cfRule>
  </conditionalFormatting>
  <conditionalFormatting sqref="F66">
    <cfRule type="cellIs" dxfId="64" priority="8" stopIfTrue="1" operator="greaterThan">
      <formula>$H$66</formula>
    </cfRule>
  </conditionalFormatting>
  <conditionalFormatting sqref="F67">
    <cfRule type="cellIs" dxfId="63" priority="7" stopIfTrue="1" operator="greaterThan">
      <formula>$H$67</formula>
    </cfRule>
  </conditionalFormatting>
  <conditionalFormatting sqref="F69">
    <cfRule type="cellIs" dxfId="62" priority="6" stopIfTrue="1" operator="greaterThan">
      <formula>$H$69</formula>
    </cfRule>
  </conditionalFormatting>
  <conditionalFormatting sqref="J171">
    <cfRule type="expression" dxfId="61" priority="5" stopIfTrue="1">
      <formula>$K$160=1</formula>
    </cfRule>
  </conditionalFormatting>
  <conditionalFormatting sqref="J172">
    <cfRule type="expression" dxfId="60" priority="4" stopIfTrue="1">
      <formula>$K$160=1</formula>
    </cfRule>
  </conditionalFormatting>
  <conditionalFormatting sqref="J173">
    <cfRule type="expression" dxfId="59" priority="3" stopIfTrue="1">
      <formula>$K$160=1</formula>
    </cfRule>
  </conditionalFormatting>
  <conditionalFormatting sqref="H168">
    <cfRule type="expression" dxfId="58" priority="2" stopIfTrue="1">
      <formula>$K$160=1</formula>
    </cfRule>
  </conditionalFormatting>
  <conditionalFormatting sqref="H168">
    <cfRule type="expression" dxfId="57" priority="1" stopIfTrue="1">
      <formula>$J$160=3</formula>
    </cfRule>
  </conditionalFormatting>
  <pageMargins left="0.62992125984251968" right="0.55118110236220474" top="0.47244094488188981" bottom="0.39370078740157483" header="0" footer="0"/>
  <pageSetup orientation="portrait" r:id="rId1"/>
  <headerFooter alignWithMargins="0"/>
  <ignoredErrors>
    <ignoredError sqref="D53" unlockedFormula="1"/>
    <ignoredError sqref="H100"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Drop Down 3">
              <controlPr locked="0" defaultSize="0" autoLine="0" autoPict="0">
                <anchor moveWithCells="1">
                  <from>
                    <xdr:col>5</xdr:col>
                    <xdr:colOff>0</xdr:colOff>
                    <xdr:row>7</xdr:row>
                    <xdr:rowOff>47625</xdr:rowOff>
                  </from>
                  <to>
                    <xdr:col>8</xdr:col>
                    <xdr:colOff>38100</xdr:colOff>
                    <xdr:row>8</xdr:row>
                    <xdr:rowOff>9525</xdr:rowOff>
                  </to>
                </anchor>
              </controlPr>
            </control>
          </mc:Choice>
        </mc:AlternateContent>
        <mc:AlternateContent xmlns:mc="http://schemas.openxmlformats.org/markup-compatibility/2006">
          <mc:Choice Requires="x14">
            <control shapeId="12324" r:id="rId5" name="Drop Down 36">
              <controlPr locked="0" defaultSize="0" autoLine="0" autoPict="0">
                <anchor moveWithCells="1">
                  <from>
                    <xdr:col>3</xdr:col>
                    <xdr:colOff>104775</xdr:colOff>
                    <xdr:row>162</xdr:row>
                    <xdr:rowOff>28575</xdr:rowOff>
                  </from>
                  <to>
                    <xdr:col>9</xdr:col>
                    <xdr:colOff>238125</xdr:colOff>
                    <xdr:row>163</xdr:row>
                    <xdr:rowOff>0</xdr:rowOff>
                  </to>
                </anchor>
              </controlPr>
            </control>
          </mc:Choice>
        </mc:AlternateContent>
        <mc:AlternateContent xmlns:mc="http://schemas.openxmlformats.org/markup-compatibility/2006">
          <mc:Choice Requires="x14">
            <control shapeId="12325" r:id="rId6" name="Drop Down 37">
              <controlPr locked="0" defaultSize="0" autoLine="0" autoPict="0">
                <anchor moveWithCells="1">
                  <from>
                    <xdr:col>3</xdr:col>
                    <xdr:colOff>114300</xdr:colOff>
                    <xdr:row>163</xdr:row>
                    <xdr:rowOff>28575</xdr:rowOff>
                  </from>
                  <to>
                    <xdr:col>9</xdr:col>
                    <xdr:colOff>238125</xdr:colOff>
                    <xdr:row>163</xdr:row>
                    <xdr:rowOff>238125</xdr:rowOff>
                  </to>
                </anchor>
              </controlPr>
            </control>
          </mc:Choice>
        </mc:AlternateContent>
        <mc:AlternateContent xmlns:mc="http://schemas.openxmlformats.org/markup-compatibility/2006">
          <mc:Choice Requires="x14">
            <control shapeId="12329" r:id="rId7" name="Drop Down 41">
              <controlPr locked="0" defaultSize="0" autoLine="0" autoPict="0">
                <anchor moveWithCells="1">
                  <from>
                    <xdr:col>5</xdr:col>
                    <xdr:colOff>9525</xdr:colOff>
                    <xdr:row>6</xdr:row>
                    <xdr:rowOff>28575</xdr:rowOff>
                  </from>
                  <to>
                    <xdr:col>10</xdr:col>
                    <xdr:colOff>28575</xdr:colOff>
                    <xdr:row>7</xdr:row>
                    <xdr:rowOff>0</xdr:rowOff>
                  </to>
                </anchor>
              </controlPr>
            </control>
          </mc:Choice>
        </mc:AlternateContent>
        <mc:AlternateContent xmlns:mc="http://schemas.openxmlformats.org/markup-compatibility/2006">
          <mc:Choice Requires="x14">
            <control shapeId="12348" r:id="rId8" name="Drop Down 60">
              <controlPr locked="0" defaultSize="0" autoLine="0" autoPict="0">
                <anchor moveWithCells="1">
                  <from>
                    <xdr:col>6</xdr:col>
                    <xdr:colOff>0</xdr:colOff>
                    <xdr:row>15</xdr:row>
                    <xdr:rowOff>38100</xdr:rowOff>
                  </from>
                  <to>
                    <xdr:col>8</xdr:col>
                    <xdr:colOff>523875</xdr:colOff>
                    <xdr:row>16</xdr:row>
                    <xdr:rowOff>28575</xdr:rowOff>
                  </to>
                </anchor>
              </controlPr>
            </control>
          </mc:Choice>
        </mc:AlternateContent>
        <mc:AlternateContent xmlns:mc="http://schemas.openxmlformats.org/markup-compatibility/2006">
          <mc:Choice Requires="x14">
            <control shapeId="12469" r:id="rId9" name="Drop Down 181">
              <controlPr locked="0" defaultSize="0" autoLine="0" autoPict="0">
                <anchor moveWithCells="1">
                  <from>
                    <xdr:col>5</xdr:col>
                    <xdr:colOff>295275</xdr:colOff>
                    <xdr:row>89</xdr:row>
                    <xdr:rowOff>142875</xdr:rowOff>
                  </from>
                  <to>
                    <xdr:col>10</xdr:col>
                    <xdr:colOff>257175</xdr:colOff>
                    <xdr:row>91</xdr:row>
                    <xdr:rowOff>9525</xdr:rowOff>
                  </to>
                </anchor>
              </controlPr>
            </control>
          </mc:Choice>
        </mc:AlternateContent>
        <mc:AlternateContent xmlns:mc="http://schemas.openxmlformats.org/markup-compatibility/2006">
          <mc:Choice Requires="x14">
            <control shapeId="12482" r:id="rId10" name="Drop Down 194">
              <controlPr locked="0" defaultSize="0" autoLine="0" autoPict="0">
                <anchor moveWithCells="1">
                  <from>
                    <xdr:col>9</xdr:col>
                    <xdr:colOff>200025</xdr:colOff>
                    <xdr:row>158</xdr:row>
                    <xdr:rowOff>114300</xdr:rowOff>
                  </from>
                  <to>
                    <xdr:col>10</xdr:col>
                    <xdr:colOff>66675</xdr:colOff>
                    <xdr:row>160</xdr:row>
                    <xdr:rowOff>0</xdr:rowOff>
                  </to>
                </anchor>
              </controlPr>
            </control>
          </mc:Choice>
        </mc:AlternateContent>
        <mc:AlternateContent xmlns:mc="http://schemas.openxmlformats.org/markup-compatibility/2006">
          <mc:Choice Requires="x14">
            <control shapeId="12483" r:id="rId11" name="Drop Down 195">
              <controlPr locked="0" defaultSize="0" autoLine="0" autoPict="0">
                <anchor moveWithCells="1">
                  <from>
                    <xdr:col>10</xdr:col>
                    <xdr:colOff>161925</xdr:colOff>
                    <xdr:row>180</xdr:row>
                    <xdr:rowOff>0</xdr:rowOff>
                  </from>
                  <to>
                    <xdr:col>11</xdr:col>
                    <xdr:colOff>28575</xdr:colOff>
                    <xdr:row>181</xdr:row>
                    <xdr:rowOff>28575</xdr:rowOff>
                  </to>
                </anchor>
              </controlPr>
            </control>
          </mc:Choice>
        </mc:AlternateContent>
        <mc:AlternateContent xmlns:mc="http://schemas.openxmlformats.org/markup-compatibility/2006">
          <mc:Choice Requires="x14">
            <control shapeId="12491" r:id="rId12" name="Drop Down 203">
              <controlPr locked="0" defaultSize="0" autoLine="0" autoPict="0">
                <anchor moveWithCells="1">
                  <from>
                    <xdr:col>5</xdr:col>
                    <xdr:colOff>0</xdr:colOff>
                    <xdr:row>9</xdr:row>
                    <xdr:rowOff>0</xdr:rowOff>
                  </from>
                  <to>
                    <xdr:col>8</xdr:col>
                    <xdr:colOff>28575</xdr:colOff>
                    <xdr:row>9</xdr:row>
                    <xdr:rowOff>190500</xdr:rowOff>
                  </to>
                </anchor>
              </controlPr>
            </control>
          </mc:Choice>
        </mc:AlternateContent>
        <mc:AlternateContent xmlns:mc="http://schemas.openxmlformats.org/markup-compatibility/2006">
          <mc:Choice Requires="x14">
            <control shapeId="12514" r:id="rId13" name="Drop Down 226">
              <controlPr locked="0" defaultSize="0" autoLine="0" autoPict="0">
                <anchor moveWithCells="1">
                  <from>
                    <xdr:col>9</xdr:col>
                    <xdr:colOff>0</xdr:colOff>
                    <xdr:row>79</xdr:row>
                    <xdr:rowOff>0</xdr:rowOff>
                  </from>
                  <to>
                    <xdr:col>11</xdr:col>
                    <xdr:colOff>0</xdr:colOff>
                    <xdr:row>80</xdr:row>
                    <xdr:rowOff>0</xdr:rowOff>
                  </to>
                </anchor>
              </controlPr>
            </control>
          </mc:Choice>
        </mc:AlternateContent>
        <mc:AlternateContent xmlns:mc="http://schemas.openxmlformats.org/markup-compatibility/2006">
          <mc:Choice Requires="x14">
            <control shapeId="12515" r:id="rId14" name="Drop Down 227">
              <controlPr locked="0" defaultSize="0" autoLine="0" autoPict="0">
                <anchor moveWithCells="1">
                  <from>
                    <xdr:col>9</xdr:col>
                    <xdr:colOff>0</xdr:colOff>
                    <xdr:row>80</xdr:row>
                    <xdr:rowOff>0</xdr:rowOff>
                  </from>
                  <to>
                    <xdr:col>11</xdr:col>
                    <xdr:colOff>0</xdr:colOff>
                    <xdr:row>81</xdr:row>
                    <xdr:rowOff>0</xdr:rowOff>
                  </to>
                </anchor>
              </controlPr>
            </control>
          </mc:Choice>
        </mc:AlternateContent>
        <mc:AlternateContent xmlns:mc="http://schemas.openxmlformats.org/markup-compatibility/2006">
          <mc:Choice Requires="x14">
            <control shapeId="12516" r:id="rId15" name="Drop Down 228">
              <controlPr locked="0" defaultSize="0" autoLine="0" autoPict="0">
                <anchor moveWithCells="1">
                  <from>
                    <xdr:col>9</xdr:col>
                    <xdr:colOff>0</xdr:colOff>
                    <xdr:row>81</xdr:row>
                    <xdr:rowOff>0</xdr:rowOff>
                  </from>
                  <to>
                    <xdr:col>11</xdr:col>
                    <xdr:colOff>0</xdr:colOff>
                    <xdr:row>82</xdr:row>
                    <xdr:rowOff>0</xdr:rowOff>
                  </to>
                </anchor>
              </controlPr>
            </control>
          </mc:Choice>
        </mc:AlternateContent>
        <mc:AlternateContent xmlns:mc="http://schemas.openxmlformats.org/markup-compatibility/2006">
          <mc:Choice Requires="x14">
            <control shapeId="12517" r:id="rId16" name="Drop Down 229">
              <controlPr locked="0" defaultSize="0" autoLine="0" autoPict="0">
                <anchor moveWithCells="1">
                  <from>
                    <xdr:col>9</xdr:col>
                    <xdr:colOff>0</xdr:colOff>
                    <xdr:row>82</xdr:row>
                    <xdr:rowOff>0</xdr:rowOff>
                  </from>
                  <to>
                    <xdr:col>11</xdr:col>
                    <xdr:colOff>0</xdr:colOff>
                    <xdr:row>83</xdr:row>
                    <xdr:rowOff>0</xdr:rowOff>
                  </to>
                </anchor>
              </controlPr>
            </control>
          </mc:Choice>
        </mc:AlternateContent>
        <mc:AlternateContent xmlns:mc="http://schemas.openxmlformats.org/markup-compatibility/2006">
          <mc:Choice Requires="x14">
            <control shapeId="12518" r:id="rId17" name="Drop Down 230">
              <controlPr locked="0" defaultSize="0" autoLine="0" autoPict="0">
                <anchor moveWithCells="1">
                  <from>
                    <xdr:col>9</xdr:col>
                    <xdr:colOff>0</xdr:colOff>
                    <xdr:row>83</xdr:row>
                    <xdr:rowOff>0</xdr:rowOff>
                  </from>
                  <to>
                    <xdr:col>11</xdr:col>
                    <xdr:colOff>0</xdr:colOff>
                    <xdr:row>84</xdr:row>
                    <xdr:rowOff>0</xdr:rowOff>
                  </to>
                </anchor>
              </controlPr>
            </control>
          </mc:Choice>
        </mc:AlternateContent>
        <mc:AlternateContent xmlns:mc="http://schemas.openxmlformats.org/markup-compatibility/2006">
          <mc:Choice Requires="x14">
            <control shapeId="12519" r:id="rId18" name="Drop Down 231">
              <controlPr locked="0" defaultSize="0" autoLine="0" autoPict="0">
                <anchor moveWithCells="1">
                  <from>
                    <xdr:col>9</xdr:col>
                    <xdr:colOff>0</xdr:colOff>
                    <xdr:row>84</xdr:row>
                    <xdr:rowOff>0</xdr:rowOff>
                  </from>
                  <to>
                    <xdr:col>11</xdr:col>
                    <xdr:colOff>0</xdr:colOff>
                    <xdr:row>85</xdr:row>
                    <xdr:rowOff>0</xdr:rowOff>
                  </to>
                </anchor>
              </controlPr>
            </control>
          </mc:Choice>
        </mc:AlternateContent>
        <mc:AlternateContent xmlns:mc="http://schemas.openxmlformats.org/markup-compatibility/2006">
          <mc:Choice Requires="x14">
            <control shapeId="12292" r:id="rId19" name="Drop Down 4">
              <controlPr locked="0" defaultSize="0" autoLine="0" autoPict="0">
                <anchor moveWithCells="1">
                  <from>
                    <xdr:col>2</xdr:col>
                    <xdr:colOff>9525</xdr:colOff>
                    <xdr:row>119</xdr:row>
                    <xdr:rowOff>9525</xdr:rowOff>
                  </from>
                  <to>
                    <xdr:col>11</xdr:col>
                    <xdr:colOff>504825</xdr:colOff>
                    <xdr:row>120</xdr:row>
                    <xdr:rowOff>0</xdr:rowOff>
                  </to>
                </anchor>
              </controlPr>
            </control>
          </mc:Choice>
        </mc:AlternateContent>
        <mc:AlternateContent xmlns:mc="http://schemas.openxmlformats.org/markup-compatibility/2006">
          <mc:Choice Requires="x14">
            <control shapeId="12293" r:id="rId20" name="Drop Down 5">
              <controlPr locked="0" defaultSize="0" autoLine="0" autoPict="0">
                <anchor moveWithCells="1">
                  <from>
                    <xdr:col>2</xdr:col>
                    <xdr:colOff>9525</xdr:colOff>
                    <xdr:row>122</xdr:row>
                    <xdr:rowOff>9525</xdr:rowOff>
                  </from>
                  <to>
                    <xdr:col>11</xdr:col>
                    <xdr:colOff>523875</xdr:colOff>
                    <xdr:row>123</xdr:row>
                    <xdr:rowOff>0</xdr:rowOff>
                  </to>
                </anchor>
              </controlPr>
            </control>
          </mc:Choice>
        </mc:AlternateContent>
        <mc:AlternateContent xmlns:mc="http://schemas.openxmlformats.org/markup-compatibility/2006">
          <mc:Choice Requires="x14">
            <control shapeId="12294" r:id="rId21" name="Drop Down 6">
              <controlPr locked="0" defaultSize="0" autoLine="0" autoPict="0">
                <anchor moveWithCells="1">
                  <from>
                    <xdr:col>2</xdr:col>
                    <xdr:colOff>9525</xdr:colOff>
                    <xdr:row>125</xdr:row>
                    <xdr:rowOff>0</xdr:rowOff>
                  </from>
                  <to>
                    <xdr:col>11</xdr:col>
                    <xdr:colOff>495300</xdr:colOff>
                    <xdr:row>126</xdr:row>
                    <xdr:rowOff>0</xdr:rowOff>
                  </to>
                </anchor>
              </controlPr>
            </control>
          </mc:Choice>
        </mc:AlternateContent>
        <mc:AlternateContent xmlns:mc="http://schemas.openxmlformats.org/markup-compatibility/2006">
          <mc:Choice Requires="x14">
            <control shapeId="12295" r:id="rId22" name="Drop Down 7">
              <controlPr locked="0" defaultSize="0" autoLine="0" autoPict="0">
                <anchor moveWithCells="1">
                  <from>
                    <xdr:col>2</xdr:col>
                    <xdr:colOff>9525</xdr:colOff>
                    <xdr:row>116</xdr:row>
                    <xdr:rowOff>0</xdr:rowOff>
                  </from>
                  <to>
                    <xdr:col>11</xdr:col>
                    <xdr:colOff>485775</xdr:colOff>
                    <xdr:row>117</xdr:row>
                    <xdr:rowOff>9525</xdr:rowOff>
                  </to>
                </anchor>
              </controlPr>
            </control>
          </mc:Choice>
        </mc:AlternateContent>
        <mc:AlternateContent xmlns:mc="http://schemas.openxmlformats.org/markup-compatibility/2006">
          <mc:Choice Requires="x14">
            <control shapeId="12296" r:id="rId23" name="Drop Down 8">
              <controlPr locked="0" defaultSize="0" autoLine="0" autoPict="0">
                <anchor moveWithCells="1">
                  <from>
                    <xdr:col>2</xdr:col>
                    <xdr:colOff>28575</xdr:colOff>
                    <xdr:row>138</xdr:row>
                    <xdr:rowOff>47625</xdr:rowOff>
                  </from>
                  <to>
                    <xdr:col>11</xdr:col>
                    <xdr:colOff>504825</xdr:colOff>
                    <xdr:row>139</xdr:row>
                    <xdr:rowOff>0</xdr:rowOff>
                  </to>
                </anchor>
              </controlPr>
            </control>
          </mc:Choice>
        </mc:AlternateContent>
        <mc:AlternateContent xmlns:mc="http://schemas.openxmlformats.org/markup-compatibility/2006">
          <mc:Choice Requires="x14">
            <control shapeId="12297" r:id="rId24" name="Drop Down 9">
              <controlPr locked="0" defaultSize="0" autoLine="0" autoPict="0">
                <anchor moveWithCells="1">
                  <from>
                    <xdr:col>2</xdr:col>
                    <xdr:colOff>9525</xdr:colOff>
                    <xdr:row>141</xdr:row>
                    <xdr:rowOff>0</xdr:rowOff>
                  </from>
                  <to>
                    <xdr:col>11</xdr:col>
                    <xdr:colOff>523875</xdr:colOff>
                    <xdr:row>142</xdr:row>
                    <xdr:rowOff>28575</xdr:rowOff>
                  </to>
                </anchor>
              </controlPr>
            </control>
          </mc:Choice>
        </mc:AlternateContent>
        <mc:AlternateContent xmlns:mc="http://schemas.openxmlformats.org/markup-compatibility/2006">
          <mc:Choice Requires="x14">
            <control shapeId="12298" r:id="rId25" name="Drop Down 10">
              <controlPr locked="0" defaultSize="0" autoLine="0" autoPict="0">
                <anchor moveWithCells="1">
                  <from>
                    <xdr:col>2</xdr:col>
                    <xdr:colOff>9525</xdr:colOff>
                    <xdr:row>144</xdr:row>
                    <xdr:rowOff>9525</xdr:rowOff>
                  </from>
                  <to>
                    <xdr:col>11</xdr:col>
                    <xdr:colOff>523875</xdr:colOff>
                    <xdr:row>145</xdr:row>
                    <xdr:rowOff>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opLeftCell="A21" workbookViewId="0">
      <selection activeCell="A40" sqref="A40"/>
    </sheetView>
  </sheetViews>
  <sheetFormatPr baseColWidth="10" defaultRowHeight="12.75" x14ac:dyDescent="0.2"/>
  <cols>
    <col min="2" max="2" width="103.42578125" customWidth="1"/>
  </cols>
  <sheetData>
    <row r="1" spans="1:2" x14ac:dyDescent="0.2">
      <c r="A1" t="s">
        <v>1197</v>
      </c>
      <c r="B1" t="s">
        <v>413</v>
      </c>
    </row>
    <row r="3" spans="1:2" x14ac:dyDescent="0.2">
      <c r="B3" s="1070" t="s">
        <v>1205</v>
      </c>
    </row>
    <row r="4" spans="1:2" x14ac:dyDescent="0.2">
      <c r="A4" s="1071">
        <v>41279</v>
      </c>
      <c r="B4" s="1068" t="s">
        <v>1206</v>
      </c>
    </row>
    <row r="5" spans="1:2" x14ac:dyDescent="0.2">
      <c r="A5" s="1071">
        <v>41279</v>
      </c>
      <c r="B5" s="1068" t="s">
        <v>1200</v>
      </c>
    </row>
    <row r="6" spans="1:2" x14ac:dyDescent="0.2">
      <c r="A6" s="1071">
        <v>41279</v>
      </c>
      <c r="B6" s="1068" t="s">
        <v>1201</v>
      </c>
    </row>
    <row r="7" spans="1:2" x14ac:dyDescent="0.2">
      <c r="A7" s="1071"/>
    </row>
    <row r="8" spans="1:2" x14ac:dyDescent="0.2">
      <c r="A8" s="1071"/>
    </row>
    <row r="9" spans="1:2" x14ac:dyDescent="0.2">
      <c r="A9" s="1071">
        <v>41279</v>
      </c>
      <c r="B9" s="1070" t="s">
        <v>1199</v>
      </c>
    </row>
    <row r="10" spans="1:2" x14ac:dyDescent="0.2">
      <c r="A10" s="1071">
        <v>41279</v>
      </c>
      <c r="B10" s="1068" t="s">
        <v>1207</v>
      </c>
    </row>
    <row r="11" spans="1:2" x14ac:dyDescent="0.2">
      <c r="A11" s="1071">
        <v>41279</v>
      </c>
      <c r="B11" s="1068" t="s">
        <v>1208</v>
      </c>
    </row>
    <row r="12" spans="1:2" x14ac:dyDescent="0.2">
      <c r="A12" s="1071">
        <v>41279</v>
      </c>
      <c r="B12" s="1068" t="s">
        <v>1209</v>
      </c>
    </row>
    <row r="13" spans="1:2" x14ac:dyDescent="0.2">
      <c r="A13" s="1071"/>
    </row>
    <row r="14" spans="1:2" x14ac:dyDescent="0.2">
      <c r="A14" s="1071">
        <v>41279</v>
      </c>
      <c r="B14" s="1068" t="s">
        <v>1211</v>
      </c>
    </row>
    <row r="15" spans="1:2" x14ac:dyDescent="0.2">
      <c r="A15" s="1071">
        <v>41279</v>
      </c>
      <c r="B15" s="1068" t="s">
        <v>1212</v>
      </c>
    </row>
    <row r="16" spans="1:2" x14ac:dyDescent="0.2">
      <c r="A16" s="1071">
        <v>41279</v>
      </c>
      <c r="B16" s="1068" t="s">
        <v>1213</v>
      </c>
    </row>
    <row r="17" spans="1:2" x14ac:dyDescent="0.2">
      <c r="A17" s="1071">
        <v>41279</v>
      </c>
      <c r="B17" s="1068" t="s">
        <v>1214</v>
      </c>
    </row>
    <row r="18" spans="1:2" x14ac:dyDescent="0.2">
      <c r="A18" s="1071">
        <v>41279</v>
      </c>
      <c r="B18" s="1068" t="s">
        <v>1215</v>
      </c>
    </row>
    <row r="19" spans="1:2" x14ac:dyDescent="0.2">
      <c r="A19" s="1071">
        <v>41279</v>
      </c>
      <c r="B19" s="1068" t="s">
        <v>1217</v>
      </c>
    </row>
    <row r="20" spans="1:2" x14ac:dyDescent="0.2">
      <c r="A20" s="1071">
        <v>41279</v>
      </c>
      <c r="B20" s="1068" t="s">
        <v>1218</v>
      </c>
    </row>
    <row r="21" spans="1:2" x14ac:dyDescent="0.2">
      <c r="A21" s="1071">
        <v>41279</v>
      </c>
      <c r="B21" s="1068" t="s">
        <v>1220</v>
      </c>
    </row>
    <row r="22" spans="1:2" x14ac:dyDescent="0.2">
      <c r="A22" s="1071">
        <v>41279</v>
      </c>
      <c r="B22" s="1068" t="s">
        <v>1221</v>
      </c>
    </row>
    <row r="23" spans="1:2" x14ac:dyDescent="0.2">
      <c r="A23" s="1071">
        <v>41279</v>
      </c>
      <c r="B23" s="1068" t="s">
        <v>1223</v>
      </c>
    </row>
    <row r="24" spans="1:2" x14ac:dyDescent="0.2">
      <c r="A24" s="1071">
        <v>41279</v>
      </c>
      <c r="B24" s="1068" t="s">
        <v>1224</v>
      </c>
    </row>
    <row r="25" spans="1:2" x14ac:dyDescent="0.2">
      <c r="A25" s="1071">
        <v>41279</v>
      </c>
      <c r="B25" s="1068" t="s">
        <v>1225</v>
      </c>
    </row>
    <row r="26" spans="1:2" x14ac:dyDescent="0.2">
      <c r="A26" s="1071">
        <v>41279</v>
      </c>
      <c r="B26" s="1068" t="s">
        <v>1226</v>
      </c>
    </row>
    <row r="27" spans="1:2" x14ac:dyDescent="0.2">
      <c r="A27" s="1071">
        <v>41279</v>
      </c>
      <c r="B27" s="1068" t="s">
        <v>1227</v>
      </c>
    </row>
    <row r="28" spans="1:2" x14ac:dyDescent="0.2">
      <c r="A28" s="1071">
        <v>41279</v>
      </c>
      <c r="B28" s="1068" t="s">
        <v>1228</v>
      </c>
    </row>
    <row r="29" spans="1:2" x14ac:dyDescent="0.2">
      <c r="A29" s="1071">
        <v>41281</v>
      </c>
      <c r="B29" s="1068" t="s">
        <v>1233</v>
      </c>
    </row>
    <row r="30" spans="1:2" x14ac:dyDescent="0.2">
      <c r="A30" s="1071"/>
    </row>
    <row r="31" spans="1:2" x14ac:dyDescent="0.2">
      <c r="A31" s="1071">
        <v>41435</v>
      </c>
      <c r="B31" t="s">
        <v>1239</v>
      </c>
    </row>
    <row r="32" spans="1:2" x14ac:dyDescent="0.2">
      <c r="A32" s="1071">
        <v>41435</v>
      </c>
      <c r="B32" t="s">
        <v>1240</v>
      </c>
    </row>
    <row r="33" spans="1:2" x14ac:dyDescent="0.2">
      <c r="A33" s="1071"/>
    </row>
    <row r="34" spans="1:2" x14ac:dyDescent="0.2">
      <c r="A34" s="1071">
        <v>41442</v>
      </c>
      <c r="B34" s="1068" t="s">
        <v>1276</v>
      </c>
    </row>
    <row r="35" spans="1:2" x14ac:dyDescent="0.2">
      <c r="A35" s="1071">
        <v>41442</v>
      </c>
      <c r="B35" s="1068" t="s">
        <v>1279</v>
      </c>
    </row>
    <row r="36" spans="1:2" x14ac:dyDescent="0.2">
      <c r="A36" s="1071">
        <v>41442</v>
      </c>
      <c r="B36" s="1068" t="s">
        <v>1280</v>
      </c>
    </row>
    <row r="37" spans="1:2" x14ac:dyDescent="0.2">
      <c r="A37" s="1071">
        <v>41442</v>
      </c>
      <c r="B37" s="1068" t="s">
        <v>1281</v>
      </c>
    </row>
    <row r="38" spans="1:2" x14ac:dyDescent="0.2">
      <c r="A38" s="1071"/>
    </row>
    <row r="39" spans="1:2" x14ac:dyDescent="0.2">
      <c r="A39" s="1071">
        <v>41683</v>
      </c>
      <c r="B39" t="s">
        <v>1303</v>
      </c>
    </row>
    <row r="40" spans="1:2" x14ac:dyDescent="0.2">
      <c r="A40" s="1071"/>
    </row>
    <row r="41" spans="1:2" x14ac:dyDescent="0.2">
      <c r="A41" s="1071"/>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3"/>
    <pageSetUpPr autoPageBreaks="0"/>
  </sheetPr>
  <dimension ref="A7:Q166"/>
  <sheetViews>
    <sheetView showGridLines="0" showZeros="0" topLeftCell="A55" workbookViewId="0">
      <selection activeCell="F22" sqref="F22:I22"/>
    </sheetView>
  </sheetViews>
  <sheetFormatPr baseColWidth="10" defaultRowHeight="12.75" x14ac:dyDescent="0.2"/>
  <cols>
    <col min="1" max="1" width="2.42578125" customWidth="1"/>
    <col min="2" max="2" width="3.5703125" style="461" customWidth="1"/>
    <col min="3" max="3" width="34.42578125" customWidth="1"/>
    <col min="4" max="4" width="3.42578125" customWidth="1"/>
    <col min="5" max="5" width="4.42578125" style="461" customWidth="1"/>
    <col min="6" max="6" width="10" style="402" customWidth="1"/>
    <col min="10" max="10" width="10.5703125" customWidth="1"/>
    <col min="11" max="11" width="5.140625" customWidth="1"/>
    <col min="12" max="12" width="2.42578125" customWidth="1"/>
  </cols>
  <sheetData>
    <row r="7" spans="2:12" s="610" customFormat="1" ht="21.95" customHeight="1" x14ac:dyDescent="0.2">
      <c r="B7" s="593"/>
      <c r="C7" s="607" t="s">
        <v>868</v>
      </c>
      <c r="D7" s="608"/>
      <c r="E7" s="594"/>
      <c r="F7" s="609"/>
      <c r="G7" s="608"/>
      <c r="H7" s="608"/>
      <c r="I7" s="608"/>
      <c r="J7" s="608"/>
      <c r="K7" s="608"/>
      <c r="L7" s="634"/>
    </row>
    <row r="8" spans="2:12" s="610" customFormat="1" ht="6" customHeight="1" x14ac:dyDescent="0.2">
      <c r="B8" s="810"/>
      <c r="C8" s="1109"/>
      <c r="D8" s="811"/>
      <c r="E8" s="812"/>
      <c r="F8" s="813"/>
      <c r="G8" s="811"/>
      <c r="H8" s="811"/>
      <c r="I8" s="811"/>
      <c r="J8" s="811"/>
      <c r="K8" s="811"/>
      <c r="L8" s="814"/>
    </row>
    <row r="9" spans="2:12" s="610" customFormat="1" ht="18" customHeight="1" x14ac:dyDescent="0.2">
      <c r="B9" s="595"/>
      <c r="C9" s="1110" t="s">
        <v>1133</v>
      </c>
      <c r="D9" s="611"/>
      <c r="E9" s="591">
        <v>1</v>
      </c>
      <c r="F9" s="613" t="str">
        <f>'R1'!C102</f>
        <v>Calificación Energética</v>
      </c>
      <c r="G9" s="614"/>
      <c r="H9" s="614"/>
      <c r="I9" s="615"/>
      <c r="J9" s="611"/>
      <c r="K9" s="611"/>
      <c r="L9" s="612"/>
    </row>
    <row r="10" spans="2:12" s="611" customFormat="1" ht="18" customHeight="1" x14ac:dyDescent="0.2">
      <c r="B10" s="595"/>
      <c r="C10" s="1110" t="s">
        <v>1142</v>
      </c>
      <c r="E10" s="591">
        <v>2</v>
      </c>
      <c r="F10" s="616">
        <f>CE_Chile!G24</f>
        <v>0</v>
      </c>
      <c r="G10" s="614"/>
      <c r="H10" s="614"/>
      <c r="I10" s="615"/>
      <c r="L10" s="612"/>
    </row>
    <row r="11" spans="2:12" s="610" customFormat="1" ht="18" customHeight="1" x14ac:dyDescent="0.2">
      <c r="B11" s="595"/>
      <c r="C11" s="1110" t="s">
        <v>1131</v>
      </c>
      <c r="D11" s="611"/>
      <c r="E11" s="611"/>
      <c r="F11" s="611" t="str">
        <f>CE_Chile!F11</f>
        <v>RM</v>
      </c>
      <c r="G11" s="611"/>
      <c r="H11" s="611"/>
      <c r="I11" s="611"/>
      <c r="J11" s="611"/>
      <c r="K11" s="611"/>
      <c r="L11" s="612"/>
    </row>
    <row r="12" spans="2:12" s="610" customFormat="1" ht="18" customHeight="1" x14ac:dyDescent="0.2">
      <c r="B12" s="595"/>
      <c r="C12" s="1110" t="s">
        <v>411</v>
      </c>
      <c r="D12" s="611"/>
      <c r="E12" s="591">
        <v>3</v>
      </c>
      <c r="F12" s="616">
        <f>CE_Chile!G15</f>
        <v>0</v>
      </c>
      <c r="G12" s="614"/>
      <c r="H12" s="614"/>
      <c r="I12" s="615"/>
      <c r="J12" s="611"/>
      <c r="K12" s="611"/>
      <c r="L12" s="612"/>
    </row>
    <row r="13" spans="2:12" s="610" customFormat="1" ht="18" customHeight="1" x14ac:dyDescent="0.2">
      <c r="B13" s="595"/>
      <c r="C13" s="1110" t="s">
        <v>863</v>
      </c>
      <c r="D13" s="611"/>
      <c r="E13" s="591">
        <v>4</v>
      </c>
      <c r="F13" s="616" t="str">
        <f>CE_Chile!F10</f>
        <v>Huechuraba</v>
      </c>
      <c r="G13" s="614"/>
      <c r="H13" s="614"/>
      <c r="I13" s="615"/>
      <c r="J13" s="611"/>
      <c r="K13" s="611"/>
      <c r="L13" s="612"/>
    </row>
    <row r="14" spans="2:12" s="610" customFormat="1" ht="18" customHeight="1" x14ac:dyDescent="0.2">
      <c r="B14" s="595"/>
      <c r="C14" s="1110" t="s">
        <v>1140</v>
      </c>
      <c r="D14" s="611"/>
      <c r="E14" s="591">
        <v>5</v>
      </c>
      <c r="F14" s="809">
        <f>CE_Chile!G18</f>
        <v>0</v>
      </c>
      <c r="G14" s="614"/>
      <c r="H14" s="614"/>
      <c r="I14" s="615"/>
      <c r="J14" s="611"/>
      <c r="K14" s="611"/>
      <c r="L14" s="612"/>
    </row>
    <row r="15" spans="2:12" s="610" customFormat="1" ht="18" customHeight="1" x14ac:dyDescent="0.2">
      <c r="B15" s="595"/>
      <c r="C15" s="1110" t="s">
        <v>864</v>
      </c>
      <c r="D15" s="611"/>
      <c r="E15" s="591">
        <v>6</v>
      </c>
      <c r="F15" s="613" t="str">
        <f>F45</f>
        <v>Casa aislada</v>
      </c>
      <c r="G15" s="614"/>
      <c r="H15" s="614"/>
      <c r="I15" s="615"/>
      <c r="J15" s="611"/>
      <c r="K15" s="611"/>
      <c r="L15" s="612"/>
    </row>
    <row r="16" spans="2:12" s="610" customFormat="1" ht="18" customHeight="1" x14ac:dyDescent="0.2">
      <c r="B16" s="595"/>
      <c r="C16" s="1110" t="s">
        <v>887</v>
      </c>
      <c r="D16" s="611"/>
      <c r="E16" s="591">
        <v>7</v>
      </c>
      <c r="F16" s="613">
        <f>F47</f>
        <v>111.05</v>
      </c>
      <c r="G16" s="614"/>
      <c r="H16" s="614"/>
      <c r="I16" s="615"/>
      <c r="J16" s="611"/>
      <c r="K16" s="611"/>
      <c r="L16" s="612"/>
    </row>
    <row r="17" spans="1:12" s="610" customFormat="1" ht="18" customHeight="1" x14ac:dyDescent="0.2">
      <c r="B17" s="595"/>
      <c r="C17" s="1110" t="s">
        <v>869</v>
      </c>
      <c r="D17" s="611"/>
      <c r="E17" s="591">
        <v>8</v>
      </c>
      <c r="F17" s="616" t="str">
        <f>F46</f>
        <v>Zona 3 - A</v>
      </c>
      <c r="G17" s="614"/>
      <c r="H17" s="614"/>
      <c r="I17" s="615"/>
      <c r="J17" s="611"/>
      <c r="K17" s="611"/>
      <c r="L17" s="612"/>
    </row>
    <row r="18" spans="1:12" s="610" customFormat="1" ht="8.25" customHeight="1" x14ac:dyDescent="0.2">
      <c r="B18" s="595"/>
      <c r="C18" s="1110"/>
      <c r="D18" s="611"/>
      <c r="E18" s="596"/>
      <c r="F18" s="376"/>
      <c r="G18" s="611"/>
      <c r="H18" s="611"/>
      <c r="I18" s="611"/>
      <c r="J18" s="611"/>
      <c r="K18" s="611"/>
      <c r="L18" s="612"/>
    </row>
    <row r="19" spans="1:12" s="610" customFormat="1" ht="18" customHeight="1" x14ac:dyDescent="0.2">
      <c r="B19" s="595"/>
      <c r="C19" s="1110" t="s">
        <v>890</v>
      </c>
      <c r="D19" s="611"/>
      <c r="E19" s="591">
        <v>9</v>
      </c>
      <c r="F19" s="463" t="str">
        <f>F50</f>
        <v>D</v>
      </c>
      <c r="G19" s="611"/>
      <c r="H19" s="611"/>
      <c r="I19" s="611"/>
      <c r="J19" s="611"/>
      <c r="K19" s="611"/>
      <c r="L19" s="712">
        <f>Referencia!G7</f>
        <v>0</v>
      </c>
    </row>
    <row r="20" spans="1:12" s="610" customFormat="1" ht="18" customHeight="1" x14ac:dyDescent="0.2">
      <c r="B20" s="595"/>
      <c r="C20" s="1110" t="s">
        <v>843</v>
      </c>
      <c r="D20" s="611"/>
      <c r="E20" s="591">
        <v>10</v>
      </c>
      <c r="F20" s="618">
        <f>F51</f>
        <v>0</v>
      </c>
      <c r="G20" s="619" t="s">
        <v>865</v>
      </c>
      <c r="H20" s="611"/>
      <c r="I20" s="611"/>
      <c r="J20" s="611"/>
      <c r="K20" s="611"/>
      <c r="L20" s="612"/>
    </row>
    <row r="21" spans="1:12" s="610" customFormat="1" ht="16.5" customHeight="1" x14ac:dyDescent="0.2">
      <c r="B21" s="595"/>
      <c r="C21" s="1110" t="s">
        <v>1141</v>
      </c>
      <c r="D21" s="1032"/>
      <c r="E21" s="1033"/>
      <c r="F21" s="1113">
        <f>(100-CE_Chile!H104)/100</f>
        <v>0.23187939925398254</v>
      </c>
      <c r="G21" s="611"/>
      <c r="H21" s="611"/>
      <c r="I21" s="611"/>
      <c r="J21" s="611"/>
      <c r="K21" s="611"/>
      <c r="L21" s="612"/>
    </row>
    <row r="22" spans="1:12" s="610" customFormat="1" ht="45.75" customHeight="1" x14ac:dyDescent="0.2">
      <c r="B22" s="595"/>
      <c r="C22" s="1111" t="s">
        <v>848</v>
      </c>
      <c r="D22" s="611"/>
      <c r="E22" s="591">
        <v>11</v>
      </c>
      <c r="F22" s="1283" t="str">
        <f>F53</f>
        <v>Nota: No se considera la demanda de calefacción ya que es muy baja. Luego, no es relevante en el consumo de energía total</v>
      </c>
      <c r="G22" s="1284"/>
      <c r="H22" s="1284"/>
      <c r="I22" s="1285"/>
      <c r="J22" s="611"/>
      <c r="K22" s="611"/>
      <c r="L22" s="612"/>
    </row>
    <row r="23" spans="1:12" s="610" customFormat="1" ht="6" customHeight="1" x14ac:dyDescent="0.2">
      <c r="B23" s="595"/>
      <c r="C23" s="1110"/>
      <c r="D23" s="611"/>
      <c r="E23" s="596"/>
      <c r="F23" s="376"/>
      <c r="G23" s="611"/>
      <c r="H23" s="611"/>
      <c r="I23" s="611"/>
      <c r="J23" s="611"/>
      <c r="K23" s="611"/>
      <c r="L23" s="612"/>
    </row>
    <row r="24" spans="1:12" s="610" customFormat="1" ht="27" customHeight="1" x14ac:dyDescent="0.2">
      <c r="B24" s="595"/>
      <c r="C24" s="1112" t="s">
        <v>891</v>
      </c>
      <c r="D24" s="611"/>
      <c r="E24" s="591">
        <v>12</v>
      </c>
      <c r="F24" s="463" t="str">
        <f>F55</f>
        <v>E</v>
      </c>
      <c r="G24" s="611"/>
      <c r="H24" s="611"/>
      <c r="I24" s="611"/>
      <c r="J24" s="611"/>
      <c r="K24" s="611"/>
      <c r="L24" s="612"/>
    </row>
    <row r="25" spans="1:12" s="610" customFormat="1" ht="18" customHeight="1" x14ac:dyDescent="0.2">
      <c r="B25" s="595"/>
      <c r="C25" s="1110" t="s">
        <v>888</v>
      </c>
      <c r="D25" s="611"/>
      <c r="E25" s="591">
        <v>13</v>
      </c>
      <c r="F25" s="618">
        <f>F56</f>
        <v>247.97536501786499</v>
      </c>
      <c r="G25" s="619" t="s">
        <v>865</v>
      </c>
      <c r="H25" s="611"/>
      <c r="I25" s="611"/>
      <c r="J25" s="611"/>
      <c r="K25" s="611"/>
      <c r="L25" s="612"/>
    </row>
    <row r="26" spans="1:12" s="610" customFormat="1" ht="18" customHeight="1" x14ac:dyDescent="0.2">
      <c r="B26" s="595"/>
      <c r="C26" s="1110" t="s">
        <v>1141</v>
      </c>
      <c r="D26" s="1032"/>
      <c r="E26" s="1033"/>
      <c r="F26" s="1113">
        <f>(100-CE_Chile!J206)/100</f>
        <v>0.19169853783368582</v>
      </c>
      <c r="G26" s="611"/>
      <c r="H26" s="611"/>
      <c r="I26" s="611"/>
      <c r="J26" s="611"/>
      <c r="K26" s="611"/>
      <c r="L26" s="612"/>
    </row>
    <row r="27" spans="1:12" s="610" customFormat="1" ht="18" customHeight="1" x14ac:dyDescent="0.2">
      <c r="B27" s="595"/>
      <c r="C27" s="1110" t="s">
        <v>866</v>
      </c>
      <c r="D27" s="611"/>
      <c r="E27" s="591">
        <v>14</v>
      </c>
      <c r="F27" s="1286">
        <f>F58</f>
        <v>0</v>
      </c>
      <c r="G27" s="1286"/>
      <c r="H27" s="611"/>
      <c r="I27" s="611"/>
      <c r="J27" s="611"/>
      <c r="K27" s="611"/>
      <c r="L27" s="612"/>
    </row>
    <row r="28" spans="1:12" s="610" customFormat="1" ht="18" customHeight="1" x14ac:dyDescent="0.2">
      <c r="B28" s="595"/>
      <c r="C28" s="1110" t="s">
        <v>867</v>
      </c>
      <c r="D28" s="611"/>
      <c r="E28" s="591">
        <v>15</v>
      </c>
      <c r="F28" s="1286">
        <f>F59</f>
        <v>0</v>
      </c>
      <c r="G28" s="1286"/>
      <c r="H28" s="611"/>
      <c r="I28" s="611"/>
      <c r="J28" s="611"/>
      <c r="K28" s="611"/>
      <c r="L28" s="612"/>
    </row>
    <row r="29" spans="1:12" s="610" customFormat="1" ht="18" customHeight="1" x14ac:dyDescent="0.2">
      <c r="B29" s="595"/>
      <c r="C29" s="1110"/>
      <c r="D29" s="611"/>
      <c r="E29" s="596"/>
      <c r="F29" s="376"/>
      <c r="G29" s="611"/>
      <c r="H29" s="611"/>
      <c r="I29" s="611"/>
      <c r="J29" s="611"/>
      <c r="K29" s="611"/>
      <c r="L29" s="612"/>
    </row>
    <row r="30" spans="1:12" s="610" customFormat="1" ht="27" customHeight="1" x14ac:dyDescent="0.2">
      <c r="B30" s="595"/>
      <c r="C30" s="1111" t="s">
        <v>1143</v>
      </c>
      <c r="D30" s="611"/>
      <c r="E30" s="591">
        <v>16</v>
      </c>
      <c r="F30" s="463">
        <f>F61</f>
        <v>1</v>
      </c>
      <c r="G30" s="611"/>
      <c r="H30" s="611"/>
      <c r="I30" s="611"/>
      <c r="J30" s="611"/>
      <c r="K30" s="611"/>
      <c r="L30" s="612"/>
    </row>
    <row r="31" spans="1:12" s="610" customFormat="1" ht="9" customHeight="1" x14ac:dyDescent="0.2">
      <c r="A31" s="635"/>
      <c r="B31" s="597"/>
      <c r="C31" s="620"/>
      <c r="D31" s="621"/>
      <c r="E31" s="598"/>
      <c r="F31" s="599"/>
      <c r="G31" s="621"/>
      <c r="H31" s="621"/>
      <c r="I31" s="621"/>
      <c r="J31" s="621"/>
      <c r="K31" s="621"/>
      <c r="L31" s="622"/>
    </row>
    <row r="32" spans="1:12" s="610" customFormat="1" ht="17.25" customHeight="1" x14ac:dyDescent="0.2">
      <c r="A32" s="635"/>
      <c r="B32" s="803"/>
      <c r="C32" s="815"/>
      <c r="D32" s="635"/>
      <c r="E32" s="803"/>
      <c r="F32" s="759"/>
      <c r="G32" s="635"/>
      <c r="H32" s="635"/>
      <c r="I32" s="635"/>
      <c r="J32" s="635"/>
      <c r="K32" s="635"/>
      <c r="L32" s="635"/>
    </row>
    <row r="33" spans="1:17" s="610" customFormat="1" ht="20.25" customHeight="1" x14ac:dyDescent="0.2">
      <c r="A33" s="635"/>
      <c r="B33" s="1114"/>
      <c r="C33" s="1115" t="s">
        <v>1146</v>
      </c>
      <c r="D33" s="1115"/>
      <c r="E33" s="1116"/>
      <c r="F33" s="1117"/>
      <c r="G33" s="607"/>
      <c r="H33" s="607"/>
      <c r="I33" s="607"/>
      <c r="J33" s="607"/>
      <c r="K33" s="607"/>
      <c r="L33" s="634"/>
    </row>
    <row r="34" spans="1:17" s="610" customFormat="1" ht="8.25" customHeight="1" x14ac:dyDescent="0.2">
      <c r="A34" s="635"/>
      <c r="B34" s="816"/>
      <c r="C34" s="815"/>
      <c r="D34" s="635"/>
      <c r="E34" s="803"/>
      <c r="F34" s="759"/>
      <c r="G34" s="635"/>
      <c r="H34" s="635"/>
      <c r="I34" s="635"/>
      <c r="J34" s="635"/>
      <c r="K34" s="635"/>
      <c r="L34" s="642"/>
    </row>
    <row r="35" spans="1:17" s="610" customFormat="1" ht="18.75" customHeight="1" x14ac:dyDescent="0.2">
      <c r="A35" s="635"/>
      <c r="B35" s="601"/>
      <c r="C35" s="606" t="s">
        <v>844</v>
      </c>
      <c r="D35" s="606"/>
      <c r="E35" s="602"/>
      <c r="F35" s="624"/>
      <c r="G35" s="606"/>
      <c r="H35" s="606"/>
      <c r="I35" s="606"/>
      <c r="J35" s="606"/>
      <c r="K35" s="606"/>
      <c r="L35" s="636"/>
    </row>
    <row r="36" spans="1:17" s="610" customFormat="1" ht="6" customHeight="1" x14ac:dyDescent="0.2">
      <c r="B36" s="810"/>
      <c r="C36" s="811"/>
      <c r="D36" s="811"/>
      <c r="E36" s="812"/>
      <c r="F36" s="813"/>
      <c r="G36" s="811"/>
      <c r="H36" s="811"/>
      <c r="I36" s="811"/>
      <c r="J36" s="811"/>
      <c r="K36" s="811"/>
      <c r="L36" s="814"/>
    </row>
    <row r="37" spans="1:17" s="610" customFormat="1" ht="18" customHeight="1" x14ac:dyDescent="0.2">
      <c r="B37" s="595"/>
      <c r="C37" s="1110" t="s">
        <v>1148</v>
      </c>
      <c r="D37" s="611"/>
      <c r="E37" s="591">
        <v>17</v>
      </c>
      <c r="F37" s="1123" t="str">
        <f>'R1'!I102</f>
        <v>Calificación Energética</v>
      </c>
      <c r="G37" s="614"/>
      <c r="H37" s="614"/>
      <c r="I37" s="615"/>
      <c r="J37" s="611"/>
      <c r="K37" s="611"/>
      <c r="L37" s="612"/>
    </row>
    <row r="38" spans="1:17" s="610" customFormat="1" ht="18" customHeight="1" x14ac:dyDescent="0.2">
      <c r="B38" s="595"/>
      <c r="C38" s="1110" t="s">
        <v>1147</v>
      </c>
      <c r="D38" s="611"/>
      <c r="E38" s="591">
        <v>18</v>
      </c>
      <c r="F38" s="1123" t="str">
        <f>'R1'!C102</f>
        <v>Calificación Energética</v>
      </c>
      <c r="G38" s="614"/>
      <c r="H38" s="614"/>
      <c r="I38" s="615"/>
      <c r="J38" s="611"/>
      <c r="K38" s="611"/>
      <c r="L38" s="612"/>
    </row>
    <row r="39" spans="1:17" s="611" customFormat="1" ht="18" customHeight="1" x14ac:dyDescent="0.2">
      <c r="B39" s="595"/>
      <c r="C39" s="1110" t="s">
        <v>1150</v>
      </c>
      <c r="E39" s="591">
        <v>19</v>
      </c>
      <c r="F39" s="616">
        <f>CE_Chile!G24</f>
        <v>0</v>
      </c>
      <c r="G39" s="614"/>
      <c r="H39" s="614"/>
      <c r="I39" s="615"/>
      <c r="L39" s="612"/>
    </row>
    <row r="40" spans="1:17" s="610" customFormat="1" ht="18" customHeight="1" x14ac:dyDescent="0.2">
      <c r="B40" s="595"/>
      <c r="C40" s="1110"/>
      <c r="D40" s="611"/>
      <c r="E40" s="611"/>
      <c r="F40" s="611"/>
      <c r="G40" s="611"/>
      <c r="H40" s="611"/>
      <c r="I40" s="611"/>
      <c r="J40" s="611"/>
      <c r="K40" s="611"/>
      <c r="L40" s="612"/>
    </row>
    <row r="41" spans="1:17" s="610" customFormat="1" ht="18" customHeight="1" x14ac:dyDescent="0.2">
      <c r="B41" s="595"/>
      <c r="C41" s="1110" t="s">
        <v>411</v>
      </c>
      <c r="D41" s="611"/>
      <c r="E41" s="591">
        <v>20</v>
      </c>
      <c r="F41" s="616">
        <f>CE_Chile!$G$15</f>
        <v>0</v>
      </c>
      <c r="G41" s="614"/>
      <c r="H41" s="614"/>
      <c r="I41" s="615"/>
      <c r="J41" s="611"/>
      <c r="K41" s="611"/>
      <c r="L41" s="612"/>
    </row>
    <row r="42" spans="1:17" s="610" customFormat="1" ht="18" customHeight="1" x14ac:dyDescent="0.2">
      <c r="B42" s="595"/>
      <c r="C42" s="1110" t="s">
        <v>863</v>
      </c>
      <c r="D42" s="611"/>
      <c r="E42" s="591">
        <v>21</v>
      </c>
      <c r="F42" s="616" t="str">
        <f>CE_Chile!$F$10</f>
        <v>Huechuraba</v>
      </c>
      <c r="G42" s="614"/>
      <c r="H42" s="614"/>
      <c r="I42" s="615"/>
      <c r="J42" s="611"/>
      <c r="K42" s="611"/>
      <c r="L42" s="612"/>
    </row>
    <row r="43" spans="1:17" s="610" customFormat="1" ht="18" customHeight="1" x14ac:dyDescent="0.2">
      <c r="B43" s="595"/>
      <c r="C43" s="1110" t="s">
        <v>1131</v>
      </c>
      <c r="D43" s="611"/>
      <c r="E43" s="591">
        <v>22</v>
      </c>
      <c r="F43" s="616" t="str">
        <f>CE_Chile!F11</f>
        <v>RM</v>
      </c>
      <c r="G43" s="614"/>
      <c r="H43" s="614"/>
      <c r="I43" s="615"/>
      <c r="J43" s="611"/>
      <c r="K43" s="611"/>
      <c r="L43" s="612"/>
    </row>
    <row r="44" spans="1:17" s="610" customFormat="1" ht="18" customHeight="1" x14ac:dyDescent="0.2">
      <c r="B44" s="595"/>
      <c r="C44" s="1110" t="s">
        <v>1149</v>
      </c>
      <c r="D44" s="611"/>
      <c r="E44" s="591">
        <v>23</v>
      </c>
      <c r="F44" s="617">
        <f>CE_Chile!$G$18</f>
        <v>0</v>
      </c>
      <c r="G44" s="614"/>
      <c r="H44" s="614"/>
      <c r="I44" s="615"/>
      <c r="J44" s="611"/>
      <c r="K44" s="611"/>
      <c r="L44" s="612"/>
    </row>
    <row r="45" spans="1:17" s="610" customFormat="1" ht="18" customHeight="1" x14ac:dyDescent="0.2">
      <c r="B45" s="595"/>
      <c r="C45" s="1110" t="s">
        <v>864</v>
      </c>
      <c r="D45" s="611"/>
      <c r="E45" s="591">
        <v>34</v>
      </c>
      <c r="F45" s="613" t="str">
        <f>'R1'!C116</f>
        <v>Casa aislada</v>
      </c>
      <c r="G45" s="614"/>
      <c r="H45" s="614"/>
      <c r="I45" s="615"/>
      <c r="J45" s="611"/>
      <c r="K45" s="611"/>
      <c r="L45" s="612"/>
    </row>
    <row r="46" spans="1:17" s="610" customFormat="1" ht="18" customHeight="1" x14ac:dyDescent="0.2">
      <c r="B46" s="595"/>
      <c r="C46" s="1110" t="s">
        <v>869</v>
      </c>
      <c r="D46" s="611"/>
      <c r="E46" s="591">
        <v>25</v>
      </c>
      <c r="F46" s="616" t="str">
        <f>'R1'!J3</f>
        <v>Zona 3 - A</v>
      </c>
      <c r="G46" s="614"/>
      <c r="H46" s="614"/>
      <c r="I46" s="615"/>
      <c r="J46" s="611"/>
      <c r="K46" s="611"/>
      <c r="L46" s="612"/>
    </row>
    <row r="47" spans="1:17" s="610" customFormat="1" ht="18" customHeight="1" x14ac:dyDescent="0.2">
      <c r="B47" s="595"/>
      <c r="C47" s="1110" t="s">
        <v>887</v>
      </c>
      <c r="D47" s="611"/>
      <c r="E47" s="591">
        <v>26</v>
      </c>
      <c r="F47" s="802">
        <f>CE_Chile!D53</f>
        <v>111.05</v>
      </c>
      <c r="G47" s="614"/>
      <c r="H47" s="614"/>
      <c r="I47" s="615"/>
      <c r="J47" s="611"/>
      <c r="K47" s="611"/>
      <c r="L47" s="612"/>
    </row>
    <row r="48" spans="1:17" s="610" customFormat="1" ht="18" customHeight="1" x14ac:dyDescent="0.2">
      <c r="B48" s="595"/>
      <c r="C48" s="1110" t="s">
        <v>870</v>
      </c>
      <c r="D48" s="611"/>
      <c r="E48" s="591">
        <v>27</v>
      </c>
      <c r="F48" s="613">
        <f>CE_Chile!G26</f>
        <v>0</v>
      </c>
      <c r="G48" s="614"/>
      <c r="H48" s="614"/>
      <c r="I48" s="615"/>
      <c r="J48" s="611"/>
      <c r="K48" s="611"/>
      <c r="L48" s="612"/>
      <c r="Q48" s="623"/>
    </row>
    <row r="49" spans="2:12" s="610" customFormat="1" ht="16.5" customHeight="1" x14ac:dyDescent="0.2">
      <c r="B49" s="595"/>
      <c r="C49" s="1110" t="s">
        <v>1154</v>
      </c>
      <c r="D49" s="611"/>
      <c r="E49" s="596"/>
      <c r="F49" s="1119">
        <f>CE_Chile!G27</f>
        <v>0</v>
      </c>
      <c r="G49" s="611"/>
      <c r="H49" s="611"/>
      <c r="I49" s="611"/>
      <c r="J49" s="611"/>
      <c r="K49" s="611"/>
      <c r="L49" s="612"/>
    </row>
    <row r="50" spans="2:12" s="610" customFormat="1" ht="18" customHeight="1" x14ac:dyDescent="0.2">
      <c r="B50" s="595"/>
      <c r="C50" s="1110" t="s">
        <v>890</v>
      </c>
      <c r="D50" s="611"/>
      <c r="E50" s="591">
        <v>28</v>
      </c>
      <c r="F50" s="463" t="str">
        <f>IF(L50=1,0,'Vivienda Objeto'!D271)</f>
        <v>D</v>
      </c>
      <c r="G50" s="611"/>
      <c r="H50" s="611"/>
      <c r="I50" s="611"/>
      <c r="J50" s="611"/>
      <c r="K50" s="611"/>
      <c r="L50" s="712">
        <f>Referencia!G55</f>
        <v>0</v>
      </c>
    </row>
    <row r="51" spans="2:12" s="610" customFormat="1" ht="18" customHeight="1" x14ac:dyDescent="0.2">
      <c r="B51" s="595"/>
      <c r="C51" s="1110" t="s">
        <v>843</v>
      </c>
      <c r="D51" s="611"/>
      <c r="E51" s="591">
        <v>29</v>
      </c>
      <c r="F51" s="618">
        <f>'Vivienda Objeto'!F296</f>
        <v>0</v>
      </c>
      <c r="G51" s="619" t="s">
        <v>865</v>
      </c>
      <c r="H51" s="611"/>
      <c r="I51" s="611"/>
      <c r="J51" s="611"/>
      <c r="K51" s="611"/>
      <c r="L51" s="612"/>
    </row>
    <row r="52" spans="2:12" s="610" customFormat="1" ht="17.25" customHeight="1" x14ac:dyDescent="0.2">
      <c r="B52" s="595"/>
      <c r="C52" s="1110" t="s">
        <v>1153</v>
      </c>
      <c r="D52" s="611"/>
      <c r="E52" s="596"/>
      <c r="F52" s="1113">
        <f>F21</f>
        <v>0.23187939925398254</v>
      </c>
      <c r="G52" s="611"/>
      <c r="H52" s="611"/>
      <c r="I52" s="611"/>
      <c r="J52" s="611"/>
      <c r="K52" s="611"/>
      <c r="L52" s="612"/>
    </row>
    <row r="53" spans="2:12" s="610" customFormat="1" ht="45.75" customHeight="1" x14ac:dyDescent="0.2">
      <c r="B53" s="595"/>
      <c r="C53" s="1111" t="s">
        <v>845</v>
      </c>
      <c r="D53" s="611"/>
      <c r="E53" s="591">
        <v>30</v>
      </c>
      <c r="F53" s="1283" t="s">
        <v>155</v>
      </c>
      <c r="G53" s="1284"/>
      <c r="H53" s="1284"/>
      <c r="I53" s="1285"/>
      <c r="J53" s="611"/>
      <c r="K53" s="611"/>
      <c r="L53" s="612"/>
    </row>
    <row r="54" spans="2:12" s="610" customFormat="1" ht="13.5" customHeight="1" x14ac:dyDescent="0.2">
      <c r="B54" s="595"/>
      <c r="C54" s="1110"/>
      <c r="D54" s="611"/>
      <c r="E54" s="596"/>
      <c r="F54" s="376"/>
      <c r="G54" s="611"/>
      <c r="H54" s="611"/>
      <c r="I54" s="611"/>
      <c r="J54" s="611"/>
      <c r="K54" s="611"/>
      <c r="L54" s="612"/>
    </row>
    <row r="55" spans="2:12" s="610" customFormat="1" ht="27" customHeight="1" x14ac:dyDescent="0.2">
      <c r="B55" s="595"/>
      <c r="C55" s="1112" t="s">
        <v>891</v>
      </c>
      <c r="D55" s="611"/>
      <c r="E55" s="591">
        <v>31</v>
      </c>
      <c r="F55" s="463" t="str">
        <f>'Vivienda Objeto'!D275</f>
        <v>E</v>
      </c>
      <c r="G55" s="611"/>
      <c r="H55" s="611"/>
      <c r="I55" s="611"/>
      <c r="J55" s="611"/>
      <c r="K55" s="611"/>
      <c r="L55" s="612"/>
    </row>
    <row r="56" spans="2:12" s="610" customFormat="1" ht="18" customHeight="1" x14ac:dyDescent="0.2">
      <c r="B56" s="595"/>
      <c r="C56" s="1110" t="s">
        <v>888</v>
      </c>
      <c r="D56" s="611"/>
      <c r="E56" s="591">
        <v>32</v>
      </c>
      <c r="F56" s="618">
        <f>'Vivienda Objeto'!H274</f>
        <v>247.97536501786499</v>
      </c>
      <c r="G56" s="619" t="s">
        <v>865</v>
      </c>
      <c r="H56" s="611"/>
      <c r="I56" s="611"/>
      <c r="J56" s="611"/>
      <c r="K56" s="611"/>
      <c r="L56" s="612"/>
    </row>
    <row r="57" spans="2:12" s="610" customFormat="1" ht="18" customHeight="1" x14ac:dyDescent="0.2">
      <c r="B57" s="595"/>
      <c r="C57" s="1110" t="s">
        <v>1153</v>
      </c>
      <c r="D57" s="611"/>
      <c r="E57" s="596"/>
      <c r="F57" s="1113">
        <f>F26</f>
        <v>0.19169853783368582</v>
      </c>
      <c r="G57" s="611"/>
      <c r="H57" s="611"/>
      <c r="I57" s="611"/>
      <c r="J57" s="611"/>
      <c r="K57" s="611"/>
      <c r="L57" s="612"/>
    </row>
    <row r="58" spans="2:12" s="610" customFormat="1" ht="18" customHeight="1" x14ac:dyDescent="0.2">
      <c r="B58" s="595"/>
      <c r="C58" s="1110" t="s">
        <v>866</v>
      </c>
      <c r="D58" s="611"/>
      <c r="E58" s="591">
        <v>33</v>
      </c>
      <c r="F58" s="1286">
        <f>CE_Chile!$G$22</f>
        <v>0</v>
      </c>
      <c r="G58" s="1286"/>
      <c r="H58" s="611"/>
      <c r="I58" s="611"/>
      <c r="J58" s="611"/>
      <c r="K58" s="611"/>
      <c r="L58" s="612"/>
    </row>
    <row r="59" spans="2:12" s="610" customFormat="1" ht="18" customHeight="1" x14ac:dyDescent="0.2">
      <c r="B59" s="595"/>
      <c r="C59" s="1110" t="s">
        <v>867</v>
      </c>
      <c r="D59" s="611"/>
      <c r="E59" s="591">
        <v>34</v>
      </c>
      <c r="F59" s="1286">
        <f>CE_Chile!$G$23</f>
        <v>0</v>
      </c>
      <c r="G59" s="1286"/>
      <c r="H59" s="611"/>
      <c r="I59" s="611"/>
      <c r="J59" s="611"/>
      <c r="K59" s="611"/>
      <c r="L59" s="612"/>
    </row>
    <row r="60" spans="2:12" s="610" customFormat="1" ht="18" customHeight="1" x14ac:dyDescent="0.2">
      <c r="B60" s="595"/>
      <c r="C60" s="1110"/>
      <c r="D60" s="611"/>
      <c r="E60" s="596"/>
      <c r="F60" s="376"/>
      <c r="G60" s="611"/>
      <c r="H60" s="611"/>
      <c r="I60" s="611"/>
      <c r="J60" s="611"/>
      <c r="K60" s="611"/>
      <c r="L60" s="612"/>
    </row>
    <row r="61" spans="2:12" s="610" customFormat="1" ht="27" customHeight="1" x14ac:dyDescent="0.2">
      <c r="B61" s="595"/>
      <c r="C61" s="1111" t="s">
        <v>1143</v>
      </c>
      <c r="D61" s="611"/>
      <c r="E61" s="591">
        <v>35</v>
      </c>
      <c r="F61" s="1122">
        <f>Inicio!U4</f>
        <v>1</v>
      </c>
      <c r="G61" s="611"/>
      <c r="H61" s="611"/>
      <c r="I61" s="611"/>
      <c r="J61" s="611"/>
      <c r="K61" s="611"/>
      <c r="L61" s="612"/>
    </row>
    <row r="62" spans="2:12" s="610" customFormat="1" ht="22.5" customHeight="1" x14ac:dyDescent="0.2">
      <c r="B62" s="595"/>
      <c r="C62" s="1111" t="s">
        <v>234</v>
      </c>
      <c r="D62" s="611"/>
      <c r="E62" s="591">
        <v>36</v>
      </c>
      <c r="F62" s="825" t="str">
        <f>'R1'!F136</f>
        <v>Cálculo Estático de la Demanda</v>
      </c>
      <c r="G62" s="614"/>
      <c r="H62" s="614"/>
      <c r="I62" s="615"/>
      <c r="J62" s="611"/>
      <c r="K62" s="611"/>
      <c r="L62" s="612"/>
    </row>
    <row r="63" spans="2:12" s="610" customFormat="1" ht="15.75" customHeight="1" x14ac:dyDescent="0.2">
      <c r="B63" s="595"/>
      <c r="C63" s="1110"/>
      <c r="D63" s="611"/>
      <c r="E63" s="596"/>
      <c r="F63" s="376"/>
      <c r="G63" s="611"/>
      <c r="H63" s="611"/>
      <c r="I63" s="611"/>
      <c r="J63" s="611"/>
      <c r="K63" s="611"/>
      <c r="L63" s="612"/>
    </row>
    <row r="64" spans="2:12" s="610" customFormat="1" ht="18" customHeight="1" x14ac:dyDescent="0.2">
      <c r="B64" s="595"/>
      <c r="C64" s="1110" t="s">
        <v>653</v>
      </c>
      <c r="D64" s="611"/>
      <c r="E64" s="591">
        <v>37</v>
      </c>
      <c r="F64" s="1294">
        <f>'Vivienda Objeto'!N264</f>
        <v>1.9615384615384615</v>
      </c>
      <c r="G64" s="1294"/>
      <c r="H64" s="611"/>
      <c r="I64" s="611"/>
      <c r="J64" s="611"/>
      <c r="K64" s="611"/>
      <c r="L64" s="612"/>
    </row>
    <row r="65" spans="2:12" s="610" customFormat="1" ht="18" customHeight="1" x14ac:dyDescent="0.2">
      <c r="B65" s="595"/>
      <c r="C65" s="1110"/>
      <c r="D65" s="611"/>
      <c r="E65" s="596"/>
      <c r="F65" s="376"/>
      <c r="G65" s="611"/>
      <c r="H65" s="611"/>
      <c r="I65" s="611"/>
      <c r="J65" s="611"/>
      <c r="K65" s="611"/>
      <c r="L65" s="612"/>
    </row>
    <row r="66" spans="2:12" s="610" customFormat="1" ht="18" customHeight="1" x14ac:dyDescent="0.2">
      <c r="B66" s="595"/>
      <c r="C66" s="625" t="s">
        <v>846</v>
      </c>
      <c r="D66" s="611"/>
      <c r="E66" s="596"/>
      <c r="F66" s="376"/>
      <c r="G66" s="611"/>
      <c r="H66" s="611"/>
      <c r="I66" s="611"/>
      <c r="J66" s="611"/>
      <c r="K66" s="611"/>
      <c r="L66" s="612"/>
    </row>
    <row r="67" spans="2:12" s="610" customFormat="1" ht="18" customHeight="1" x14ac:dyDescent="0.2">
      <c r="B67" s="595"/>
      <c r="C67" s="1110" t="s">
        <v>655</v>
      </c>
      <c r="D67" s="611"/>
      <c r="E67" s="591">
        <v>38</v>
      </c>
      <c r="F67" s="1293">
        <f>CE_Chile!J197</f>
        <v>0</v>
      </c>
      <c r="G67" s="1293"/>
      <c r="H67" s="611" t="s">
        <v>797</v>
      </c>
      <c r="I67" s="611"/>
      <c r="J67" s="611"/>
      <c r="K67" s="611"/>
      <c r="L67" s="612"/>
    </row>
    <row r="68" spans="2:12" s="610" customFormat="1" ht="18" customHeight="1" x14ac:dyDescent="0.2">
      <c r="B68" s="595"/>
      <c r="C68" s="1110" t="s">
        <v>658</v>
      </c>
      <c r="D68" s="611"/>
      <c r="E68" s="591">
        <v>39</v>
      </c>
      <c r="F68" s="1293">
        <f>CE_Chile!J199</f>
        <v>0</v>
      </c>
      <c r="G68" s="1293"/>
      <c r="H68" s="611" t="s">
        <v>797</v>
      </c>
      <c r="I68" s="611"/>
      <c r="J68" s="611"/>
      <c r="K68" s="611"/>
      <c r="L68" s="612"/>
    </row>
    <row r="69" spans="2:12" s="610" customFormat="1" ht="18" customHeight="1" x14ac:dyDescent="0.2">
      <c r="B69" s="595"/>
      <c r="C69" s="1110" t="s">
        <v>871</v>
      </c>
      <c r="D69" s="611"/>
      <c r="E69" s="591">
        <v>40</v>
      </c>
      <c r="F69" s="1293">
        <f>CE_Chile!J198</f>
        <v>0</v>
      </c>
      <c r="G69" s="1293"/>
      <c r="H69" s="611" t="s">
        <v>797</v>
      </c>
      <c r="I69" s="611"/>
      <c r="J69" s="611"/>
      <c r="K69" s="611"/>
      <c r="L69" s="612"/>
    </row>
    <row r="70" spans="2:12" s="610" customFormat="1" ht="18" customHeight="1" x14ac:dyDescent="0.2">
      <c r="B70" s="595"/>
      <c r="C70" s="1110"/>
      <c r="D70" s="611"/>
      <c r="E70" s="596"/>
      <c r="F70" s="376"/>
      <c r="G70" s="611"/>
      <c r="H70" s="611"/>
      <c r="I70" s="611"/>
      <c r="J70" s="611"/>
      <c r="K70" s="611"/>
      <c r="L70" s="612"/>
    </row>
    <row r="71" spans="2:12" s="610" customFormat="1" ht="18" customHeight="1" x14ac:dyDescent="0.2">
      <c r="B71" s="595"/>
      <c r="C71" s="805" t="s">
        <v>847</v>
      </c>
      <c r="D71" s="806"/>
      <c r="E71" s="807"/>
      <c r="F71" s="376"/>
      <c r="G71" s="611"/>
      <c r="H71" s="611"/>
      <c r="I71" s="611"/>
      <c r="J71" s="611"/>
      <c r="K71" s="611"/>
      <c r="L71" s="612"/>
    </row>
    <row r="72" spans="2:12" s="610" customFormat="1" ht="7.5" customHeight="1" x14ac:dyDescent="0.2">
      <c r="B72" s="595"/>
      <c r="C72" s="804"/>
      <c r="D72" s="611"/>
      <c r="E72" s="596"/>
      <c r="F72" s="376"/>
      <c r="G72" s="611"/>
      <c r="H72" s="611"/>
      <c r="I72" s="611"/>
      <c r="J72" s="611"/>
      <c r="K72" s="611"/>
      <c r="L72" s="612"/>
    </row>
    <row r="73" spans="2:12" s="610" customFormat="1" ht="18" customHeight="1" x14ac:dyDescent="0.2">
      <c r="B73" s="595"/>
      <c r="C73" s="1110" t="s">
        <v>869</v>
      </c>
      <c r="D73" s="611"/>
      <c r="E73" s="591">
        <v>41</v>
      </c>
      <c r="F73" s="463">
        <f>'R1'!J2</f>
        <v>3</v>
      </c>
      <c r="G73" s="611"/>
      <c r="H73" s="611"/>
      <c r="I73" s="611"/>
      <c r="J73" s="611"/>
      <c r="K73" s="611"/>
      <c r="L73" s="612"/>
    </row>
    <row r="74" spans="2:12" s="610" customFormat="1" ht="18" customHeight="1" x14ac:dyDescent="0.2">
      <c r="B74" s="595"/>
      <c r="C74" s="1110"/>
      <c r="D74" s="611"/>
      <c r="E74" s="596"/>
      <c r="F74" s="376"/>
      <c r="G74" s="611"/>
      <c r="H74" s="611"/>
      <c r="I74" s="611"/>
      <c r="J74" s="611"/>
      <c r="K74" s="611"/>
      <c r="L74" s="612"/>
    </row>
    <row r="75" spans="2:12" s="610" customFormat="1" ht="18" customHeight="1" x14ac:dyDescent="0.2">
      <c r="B75" s="595"/>
      <c r="C75" s="1110" t="s">
        <v>762</v>
      </c>
      <c r="D75" s="611"/>
      <c r="E75" s="591">
        <v>42</v>
      </c>
      <c r="F75" s="463">
        <f>'R1'!F107</f>
        <v>125</v>
      </c>
      <c r="G75" s="619" t="s">
        <v>797</v>
      </c>
      <c r="H75" s="611"/>
      <c r="I75" s="611"/>
      <c r="J75" s="611"/>
      <c r="K75" s="611"/>
      <c r="L75" s="612"/>
    </row>
    <row r="76" spans="2:12" s="610" customFormat="1" ht="18" customHeight="1" x14ac:dyDescent="0.2">
      <c r="B76" s="595"/>
      <c r="C76" s="1110" t="s">
        <v>256</v>
      </c>
      <c r="D76" s="611"/>
      <c r="E76" s="591">
        <v>43</v>
      </c>
      <c r="F76" s="463">
        <f>'R1'!G107</f>
        <v>100</v>
      </c>
      <c r="G76" s="619" t="s">
        <v>797</v>
      </c>
      <c r="H76" s="611"/>
      <c r="I76" s="611"/>
      <c r="J76" s="611"/>
      <c r="K76" s="611"/>
      <c r="L76" s="612"/>
    </row>
    <row r="77" spans="2:12" s="610" customFormat="1" ht="18" customHeight="1" x14ac:dyDescent="0.2">
      <c r="B77" s="595"/>
      <c r="C77" s="1110" t="s">
        <v>764</v>
      </c>
      <c r="D77" s="611"/>
      <c r="E77" s="808">
        <v>44</v>
      </c>
      <c r="F77" s="463">
        <f>'R1'!H107</f>
        <v>40</v>
      </c>
      <c r="G77" s="619" t="s">
        <v>797</v>
      </c>
      <c r="H77" s="611"/>
      <c r="I77" s="611"/>
      <c r="J77" s="611"/>
      <c r="K77" s="611"/>
      <c r="L77" s="612"/>
    </row>
    <row r="78" spans="2:12" s="610" customFormat="1" ht="18" customHeight="1" x14ac:dyDescent="0.2">
      <c r="B78" s="595"/>
      <c r="C78" s="1110"/>
      <c r="D78" s="611"/>
      <c r="E78" s="803"/>
      <c r="F78" s="759"/>
      <c r="G78" s="619"/>
      <c r="H78" s="611"/>
      <c r="I78" s="611"/>
      <c r="J78" s="611"/>
      <c r="K78" s="611"/>
      <c r="L78" s="612"/>
    </row>
    <row r="79" spans="2:12" s="610" customFormat="1" ht="18" customHeight="1" x14ac:dyDescent="0.2">
      <c r="B79" s="595"/>
      <c r="C79" s="1110" t="s">
        <v>886</v>
      </c>
      <c r="D79" s="611"/>
      <c r="E79" s="591">
        <v>45</v>
      </c>
      <c r="F79" s="616">
        <f>CE_Chile!G19</f>
        <v>0</v>
      </c>
      <c r="G79" s="614"/>
      <c r="H79" s="614"/>
      <c r="I79" s="614"/>
      <c r="J79" s="615"/>
      <c r="K79" s="611"/>
      <c r="L79" s="612"/>
    </row>
    <row r="80" spans="2:12" s="610" customFormat="1" ht="18" customHeight="1" x14ac:dyDescent="0.2">
      <c r="B80" s="595"/>
      <c r="C80" s="1110" t="s">
        <v>1152</v>
      </c>
      <c r="D80" s="611"/>
      <c r="E80" s="591">
        <v>46</v>
      </c>
      <c r="F80" s="617">
        <f>CE_Chile!G20</f>
        <v>0</v>
      </c>
      <c r="G80" s="614"/>
      <c r="H80" s="614"/>
      <c r="I80" s="614"/>
      <c r="J80" s="615"/>
      <c r="K80" s="611"/>
      <c r="L80" s="612"/>
    </row>
    <row r="81" spans="2:12" s="623" customFormat="1" ht="16.5" customHeight="1" x14ac:dyDescent="0.2">
      <c r="B81" s="597"/>
      <c r="C81" s="1118" t="s">
        <v>1157</v>
      </c>
      <c r="D81" s="621"/>
      <c r="E81" s="598"/>
      <c r="F81" s="1121">
        <f>CE_Chile!G21</f>
        <v>0</v>
      </c>
      <c r="G81" s="621"/>
      <c r="H81" s="621"/>
      <c r="I81" s="621"/>
      <c r="J81" s="621"/>
      <c r="K81" s="621"/>
      <c r="L81" s="622"/>
    </row>
    <row r="82" spans="2:12" s="610" customFormat="1" ht="18" customHeight="1" x14ac:dyDescent="0.2">
      <c r="B82" s="601"/>
      <c r="C82" s="606" t="s">
        <v>872</v>
      </c>
      <c r="D82" s="606"/>
      <c r="E82" s="602"/>
      <c r="F82" s="624"/>
      <c r="G82" s="606"/>
      <c r="H82" s="606"/>
      <c r="I82" s="606"/>
      <c r="J82" s="606"/>
      <c r="K82" s="606"/>
      <c r="L82" s="636"/>
    </row>
    <row r="83" spans="2:12" s="610" customFormat="1" ht="4.5" customHeight="1" x14ac:dyDescent="0.2">
      <c r="B83" s="595"/>
      <c r="C83" s="1110"/>
      <c r="D83" s="611"/>
      <c r="E83" s="596"/>
      <c r="F83" s="376"/>
      <c r="G83" s="611"/>
      <c r="H83" s="611"/>
      <c r="I83" s="611"/>
      <c r="J83" s="611"/>
      <c r="K83" s="611"/>
      <c r="L83" s="612"/>
    </row>
    <row r="84" spans="2:12" s="610" customFormat="1" ht="18" customHeight="1" x14ac:dyDescent="0.2">
      <c r="B84" s="595"/>
      <c r="C84" s="1110" t="s">
        <v>1148</v>
      </c>
      <c r="D84" s="611"/>
      <c r="E84" s="591">
        <v>47</v>
      </c>
      <c r="F84" s="613" t="str">
        <f>F37</f>
        <v>Calificación Energética</v>
      </c>
      <c r="G84" s="614"/>
      <c r="H84" s="614"/>
      <c r="I84" s="615"/>
      <c r="J84" s="611"/>
      <c r="K84" s="611"/>
      <c r="L84" s="612"/>
    </row>
    <row r="85" spans="2:12" s="610" customFormat="1" ht="18" customHeight="1" x14ac:dyDescent="0.2">
      <c r="B85" s="595"/>
      <c r="C85" s="1110" t="s">
        <v>1147</v>
      </c>
      <c r="D85" s="611"/>
      <c r="E85" s="591">
        <v>48</v>
      </c>
      <c r="F85" s="613" t="str">
        <f>F38</f>
        <v>Calificación Energética</v>
      </c>
      <c r="G85" s="614"/>
      <c r="H85" s="614"/>
      <c r="I85" s="615"/>
      <c r="J85" s="611"/>
      <c r="K85" s="611"/>
      <c r="L85" s="612"/>
    </row>
    <row r="86" spans="2:12" s="610" customFormat="1" ht="18" customHeight="1" x14ac:dyDescent="0.2">
      <c r="B86" s="595"/>
      <c r="C86" s="1110" t="s">
        <v>1150</v>
      </c>
      <c r="D86" s="611"/>
      <c r="E86" s="591">
        <v>49</v>
      </c>
      <c r="F86" s="616">
        <f>F39</f>
        <v>0</v>
      </c>
      <c r="G86" s="614"/>
      <c r="H86" s="614"/>
      <c r="I86" s="615"/>
      <c r="J86" s="611"/>
      <c r="K86" s="611"/>
      <c r="L86" s="612"/>
    </row>
    <row r="87" spans="2:12" s="610" customFormat="1" ht="8.25" customHeight="1" x14ac:dyDescent="0.2">
      <c r="B87" s="595"/>
      <c r="C87" s="1110"/>
      <c r="D87" s="611"/>
      <c r="E87" s="596"/>
      <c r="F87" s="376"/>
      <c r="G87" s="611"/>
      <c r="H87" s="611"/>
      <c r="I87" s="611"/>
      <c r="J87" s="611"/>
      <c r="K87" s="611"/>
      <c r="L87" s="612"/>
    </row>
    <row r="88" spans="2:12" s="610" customFormat="1" ht="18" customHeight="1" x14ac:dyDescent="0.2">
      <c r="B88" s="595"/>
      <c r="C88" s="625" t="s">
        <v>1121</v>
      </c>
      <c r="D88" s="611"/>
      <c r="E88" s="596"/>
      <c r="F88" s="376"/>
      <c r="G88" s="611"/>
      <c r="H88" s="611"/>
      <c r="I88" s="611"/>
      <c r="J88" s="611"/>
      <c r="K88" s="611"/>
      <c r="L88" s="612"/>
    </row>
    <row r="89" spans="2:12" s="610" customFormat="1" ht="18" customHeight="1" x14ac:dyDescent="0.2">
      <c r="B89" s="595"/>
      <c r="C89" s="1110" t="s">
        <v>655</v>
      </c>
      <c r="D89" s="611"/>
      <c r="E89" s="591">
        <v>50</v>
      </c>
      <c r="F89" s="820">
        <f>'Vivienda Objeto'!L241</f>
        <v>198.03644936287671</v>
      </c>
      <c r="G89" s="619" t="s">
        <v>865</v>
      </c>
      <c r="H89" s="611"/>
      <c r="I89" s="611"/>
      <c r="J89" s="611"/>
      <c r="K89" s="611"/>
      <c r="L89" s="612"/>
    </row>
    <row r="90" spans="2:12" s="610" customFormat="1" ht="18" customHeight="1" x14ac:dyDescent="0.2">
      <c r="B90" s="595"/>
      <c r="C90" s="1110"/>
      <c r="D90" s="611"/>
      <c r="E90" s="591">
        <v>51</v>
      </c>
      <c r="F90" s="820">
        <f>'Vivienda Objeto'!P241</f>
        <v>79.861339995853811</v>
      </c>
      <c r="G90" s="611" t="s">
        <v>862</v>
      </c>
      <c r="H90" s="611"/>
      <c r="I90" s="611"/>
      <c r="J90" s="611"/>
      <c r="K90" s="611"/>
      <c r="L90" s="612"/>
    </row>
    <row r="91" spans="2:12" s="610" customFormat="1" ht="9" customHeight="1" x14ac:dyDescent="0.2">
      <c r="B91" s="595"/>
      <c r="C91" s="1110"/>
      <c r="D91" s="611"/>
      <c r="E91" s="596"/>
      <c r="F91" s="627"/>
      <c r="G91" s="611"/>
      <c r="H91" s="611"/>
      <c r="I91" s="611"/>
      <c r="J91" s="611"/>
      <c r="K91" s="611"/>
      <c r="L91" s="612"/>
    </row>
    <row r="92" spans="2:12" s="610" customFormat="1" ht="18" customHeight="1" x14ac:dyDescent="0.2">
      <c r="B92" s="595"/>
      <c r="C92" s="1110" t="s">
        <v>658</v>
      </c>
      <c r="D92" s="611"/>
      <c r="E92" s="591">
        <v>52</v>
      </c>
      <c r="F92" s="820">
        <f>'Vivienda Objeto'!L243</f>
        <v>11.313556752715908</v>
      </c>
      <c r="G92" s="619" t="s">
        <v>865</v>
      </c>
      <c r="H92" s="611"/>
      <c r="I92" s="611"/>
      <c r="J92" s="611"/>
      <c r="K92" s="611"/>
      <c r="L92" s="612"/>
    </row>
    <row r="93" spans="2:12" s="610" customFormat="1" ht="18" customHeight="1" x14ac:dyDescent="0.2">
      <c r="B93" s="595"/>
      <c r="C93" s="1110"/>
      <c r="D93" s="611"/>
      <c r="E93" s="591">
        <v>53</v>
      </c>
      <c r="F93" s="820">
        <f>'Vivienda Objeto'!P243</f>
        <v>4.5623712467973752</v>
      </c>
      <c r="G93" s="628" t="s">
        <v>862</v>
      </c>
      <c r="H93" s="611"/>
      <c r="I93" s="611"/>
      <c r="J93" s="611"/>
      <c r="K93" s="611"/>
      <c r="L93" s="612"/>
    </row>
    <row r="94" spans="2:12" s="610" customFormat="1" ht="8.25" customHeight="1" x14ac:dyDescent="0.2">
      <c r="B94" s="595"/>
      <c r="C94" s="1110"/>
      <c r="D94" s="611"/>
      <c r="E94" s="596"/>
      <c r="F94" s="629"/>
      <c r="G94" s="611"/>
      <c r="H94" s="611"/>
      <c r="I94" s="611"/>
      <c r="J94" s="611"/>
      <c r="K94" s="611"/>
      <c r="L94" s="612"/>
    </row>
    <row r="95" spans="2:12" s="610" customFormat="1" ht="18" customHeight="1" x14ac:dyDescent="0.2">
      <c r="B95" s="595"/>
      <c r="C95" s="1110" t="s">
        <v>873</v>
      </c>
      <c r="D95" s="611"/>
      <c r="E95" s="591">
        <v>54</v>
      </c>
      <c r="F95" s="820">
        <f>'Vivienda Objeto'!L242</f>
        <v>38.625358902272382</v>
      </c>
      <c r="G95" s="619" t="s">
        <v>865</v>
      </c>
      <c r="H95" s="611"/>
      <c r="I95" s="611"/>
      <c r="J95" s="611"/>
      <c r="K95" s="611"/>
      <c r="L95" s="612"/>
    </row>
    <row r="96" spans="2:12" s="610" customFormat="1" ht="18" customHeight="1" x14ac:dyDescent="0.2">
      <c r="B96" s="595"/>
      <c r="C96" s="1110"/>
      <c r="D96" s="611"/>
      <c r="E96" s="591">
        <v>55</v>
      </c>
      <c r="F96" s="820">
        <f>'Vivienda Objeto'!P242</f>
        <v>15.576288757348811</v>
      </c>
      <c r="G96" s="628" t="s">
        <v>862</v>
      </c>
      <c r="H96" s="611"/>
      <c r="I96" s="611"/>
      <c r="J96" s="611"/>
      <c r="K96" s="611"/>
      <c r="L96" s="612"/>
    </row>
    <row r="97" spans="2:12" s="610" customFormat="1" ht="7.5" customHeight="1" x14ac:dyDescent="0.2">
      <c r="B97" s="595"/>
      <c r="C97" s="1110"/>
      <c r="D97" s="611"/>
      <c r="E97" s="596"/>
      <c r="F97" s="629"/>
      <c r="G97" s="611"/>
      <c r="H97" s="611"/>
      <c r="I97" s="611"/>
      <c r="J97" s="611"/>
      <c r="K97" s="611"/>
      <c r="L97" s="612"/>
    </row>
    <row r="98" spans="2:12" s="610" customFormat="1" ht="18" customHeight="1" x14ac:dyDescent="0.2">
      <c r="B98" s="595"/>
      <c r="C98" s="1110" t="s">
        <v>434</v>
      </c>
      <c r="D98" s="611"/>
      <c r="E98" s="591">
        <v>56</v>
      </c>
      <c r="F98" s="820">
        <f>'Vivienda Objeto'!L245</f>
        <v>247.97536501786499</v>
      </c>
      <c r="G98" s="619" t="s">
        <v>865</v>
      </c>
      <c r="H98" s="611"/>
      <c r="I98" s="611"/>
      <c r="J98" s="611"/>
      <c r="K98" s="611"/>
      <c r="L98" s="612"/>
    </row>
    <row r="99" spans="2:12" s="610" customFormat="1" ht="18" customHeight="1" x14ac:dyDescent="0.2">
      <c r="B99" s="595"/>
      <c r="C99" s="1110"/>
      <c r="D99" s="611"/>
      <c r="E99" s="591">
        <v>57</v>
      </c>
      <c r="F99" s="820">
        <f>'Vivienda Objeto'!P245</f>
        <v>99.999999999999986</v>
      </c>
      <c r="G99" s="628" t="s">
        <v>862</v>
      </c>
      <c r="H99" s="611"/>
      <c r="I99" s="611"/>
      <c r="J99" s="611"/>
      <c r="K99" s="611"/>
      <c r="L99" s="612"/>
    </row>
    <row r="100" spans="2:12" s="610" customFormat="1" ht="6.75" customHeight="1" x14ac:dyDescent="0.2">
      <c r="B100" s="595"/>
      <c r="C100" s="1110"/>
      <c r="D100" s="611"/>
      <c r="E100" s="596"/>
      <c r="F100" s="821"/>
      <c r="G100" s="611"/>
      <c r="H100" s="611"/>
      <c r="I100" s="611"/>
      <c r="J100" s="611"/>
      <c r="K100" s="611"/>
      <c r="L100" s="612"/>
    </row>
    <row r="101" spans="2:12" s="610" customFormat="1" ht="18" customHeight="1" x14ac:dyDescent="0.2">
      <c r="B101" s="595"/>
      <c r="C101" s="1110" t="s">
        <v>235</v>
      </c>
      <c r="D101" s="611"/>
      <c r="E101" s="591">
        <v>58</v>
      </c>
      <c r="F101" s="820">
        <f>'Vivienda Objeto'!L254</f>
        <v>57.432154207537771</v>
      </c>
      <c r="G101" s="611" t="s">
        <v>1122</v>
      </c>
      <c r="H101" s="611"/>
      <c r="I101" s="611"/>
      <c r="J101" s="611"/>
      <c r="K101" s="611"/>
      <c r="L101" s="612"/>
    </row>
    <row r="102" spans="2:12" s="610" customFormat="1" ht="18" customHeight="1" x14ac:dyDescent="0.2">
      <c r="B102" s="595"/>
      <c r="C102" s="1110"/>
      <c r="D102" s="611"/>
      <c r="E102" s="596"/>
      <c r="F102" s="376"/>
      <c r="G102" s="611"/>
      <c r="H102" s="611"/>
      <c r="I102" s="611"/>
      <c r="J102" s="611"/>
      <c r="K102" s="611"/>
      <c r="L102" s="612"/>
    </row>
    <row r="103" spans="2:12" s="610" customFormat="1" ht="18" customHeight="1" x14ac:dyDescent="0.2">
      <c r="B103" s="595"/>
      <c r="C103" s="625" t="s">
        <v>786</v>
      </c>
      <c r="D103" s="611"/>
      <c r="E103" s="596"/>
      <c r="F103" s="376"/>
      <c r="G103" s="611"/>
      <c r="H103" s="611"/>
      <c r="I103" s="611"/>
      <c r="J103" s="611"/>
      <c r="K103" s="611"/>
      <c r="L103" s="612"/>
    </row>
    <row r="104" spans="2:12" s="610" customFormat="1" ht="6" customHeight="1" x14ac:dyDescent="0.2">
      <c r="B104" s="595"/>
      <c r="C104" s="1110"/>
      <c r="D104" s="611"/>
      <c r="E104" s="596"/>
      <c r="F104" s="376"/>
      <c r="G104" s="611"/>
      <c r="H104" s="611"/>
      <c r="I104" s="611"/>
      <c r="J104" s="611"/>
      <c r="K104" s="611"/>
      <c r="L104" s="612"/>
    </row>
    <row r="105" spans="2:12" s="610" customFormat="1" ht="18" customHeight="1" x14ac:dyDescent="0.2">
      <c r="B105" s="595"/>
      <c r="C105" s="626" t="s">
        <v>733</v>
      </c>
      <c r="D105" s="611"/>
      <c r="E105" s="596"/>
      <c r="F105" s="376"/>
      <c r="G105" s="611"/>
      <c r="H105" s="611"/>
      <c r="I105" s="611"/>
      <c r="J105" s="611"/>
      <c r="K105" s="611"/>
      <c r="L105" s="612"/>
    </row>
    <row r="106" spans="2:12" s="610" customFormat="1" ht="18" customHeight="1" x14ac:dyDescent="0.2">
      <c r="B106" s="595"/>
      <c r="C106" s="1110" t="s">
        <v>874</v>
      </c>
      <c r="D106" s="611"/>
      <c r="E106" s="591">
        <v>59</v>
      </c>
      <c r="F106" s="618">
        <f>'Vivienda Objeto'!D32</f>
        <v>71.33</v>
      </c>
      <c r="G106" s="611" t="s">
        <v>1123</v>
      </c>
      <c r="H106" s="611"/>
      <c r="I106" s="611"/>
      <c r="J106" s="611"/>
      <c r="K106" s="631"/>
      <c r="L106" s="612"/>
    </row>
    <row r="107" spans="2:12" s="610" customFormat="1" ht="60" customHeight="1" x14ac:dyDescent="0.2">
      <c r="B107" s="595"/>
      <c r="C107" s="1110" t="s">
        <v>754</v>
      </c>
      <c r="D107" s="611"/>
      <c r="E107" s="591">
        <v>60</v>
      </c>
      <c r="F107" s="1287">
        <f>CE_Chile!D31</f>
        <v>0</v>
      </c>
      <c r="G107" s="1288"/>
      <c r="H107" s="1288"/>
      <c r="I107" s="1288"/>
      <c r="J107" s="1288"/>
      <c r="K107" s="1289"/>
      <c r="L107" s="612"/>
    </row>
    <row r="108" spans="2:12" s="610" customFormat="1" ht="18" customHeight="1" x14ac:dyDescent="0.2">
      <c r="B108" s="595"/>
      <c r="C108" s="1110" t="s">
        <v>875</v>
      </c>
      <c r="D108" s="611"/>
      <c r="E108" s="591">
        <v>61</v>
      </c>
      <c r="F108" s="630">
        <f>'Vivienda Objeto'!F32</f>
        <v>1.58</v>
      </c>
      <c r="G108" s="611" t="s">
        <v>1124</v>
      </c>
      <c r="H108" s="611"/>
      <c r="I108" s="611"/>
      <c r="J108" s="611"/>
      <c r="K108" s="611"/>
      <c r="L108" s="612"/>
    </row>
    <row r="109" spans="2:12" s="610" customFormat="1" ht="18" customHeight="1" x14ac:dyDescent="0.2">
      <c r="B109" s="595"/>
      <c r="C109" s="1110" t="s">
        <v>889</v>
      </c>
      <c r="D109" s="611"/>
      <c r="E109" s="591">
        <v>62</v>
      </c>
      <c r="F109" s="630">
        <f>'Vivienda Objeto'!J32</f>
        <v>1.9</v>
      </c>
      <c r="G109" s="611" t="s">
        <v>1124</v>
      </c>
      <c r="H109" s="611"/>
      <c r="I109" s="611"/>
      <c r="J109" s="611"/>
      <c r="K109" s="611"/>
      <c r="L109" s="612"/>
    </row>
    <row r="110" spans="2:12" s="610" customFormat="1" ht="9" customHeight="1" x14ac:dyDescent="0.2">
      <c r="B110" s="595"/>
      <c r="C110" s="1110"/>
      <c r="D110" s="611"/>
      <c r="E110" s="596"/>
      <c r="F110" s="376"/>
      <c r="G110" s="611"/>
      <c r="H110" s="611"/>
      <c r="I110" s="611"/>
      <c r="J110" s="611"/>
      <c r="K110" s="611"/>
      <c r="L110" s="612"/>
    </row>
    <row r="111" spans="2:12" s="610" customFormat="1" ht="18" customHeight="1" x14ac:dyDescent="0.2">
      <c r="B111" s="595"/>
      <c r="C111" s="626" t="s">
        <v>734</v>
      </c>
      <c r="D111" s="611"/>
      <c r="E111" s="596"/>
      <c r="F111" s="376"/>
      <c r="G111" s="611"/>
      <c r="H111" s="611"/>
      <c r="I111" s="611"/>
      <c r="J111" s="611"/>
      <c r="K111" s="611"/>
      <c r="L111" s="612"/>
    </row>
    <row r="112" spans="2:12" s="610" customFormat="1" ht="18" customHeight="1" x14ac:dyDescent="0.2">
      <c r="B112" s="595"/>
      <c r="C112" s="1110" t="s">
        <v>874</v>
      </c>
      <c r="D112" s="611"/>
      <c r="E112" s="591">
        <v>63</v>
      </c>
      <c r="F112" s="618">
        <f>'Vivienda Objeto'!D33</f>
        <v>54.25</v>
      </c>
      <c r="G112" s="611" t="s">
        <v>1123</v>
      </c>
      <c r="H112" s="611"/>
      <c r="I112" s="611"/>
      <c r="J112" s="611"/>
      <c r="K112" s="611"/>
      <c r="L112" s="612"/>
    </row>
    <row r="113" spans="2:12" s="610" customFormat="1" ht="60" customHeight="1" x14ac:dyDescent="0.2">
      <c r="B113" s="595"/>
      <c r="C113" s="1119" t="s">
        <v>754</v>
      </c>
      <c r="D113" s="376"/>
      <c r="E113" s="591">
        <v>64</v>
      </c>
      <c r="F113" s="1287">
        <f>CE_Chile!D32</f>
        <v>0</v>
      </c>
      <c r="G113" s="1288"/>
      <c r="H113" s="1288"/>
      <c r="I113" s="1288"/>
      <c r="J113" s="1288"/>
      <c r="K113" s="1289"/>
      <c r="L113" s="612"/>
    </row>
    <row r="114" spans="2:12" s="610" customFormat="1" ht="18" customHeight="1" x14ac:dyDescent="0.2">
      <c r="B114" s="595"/>
      <c r="C114" s="1110" t="s">
        <v>875</v>
      </c>
      <c r="D114" s="611"/>
      <c r="E114" s="591">
        <v>65</v>
      </c>
      <c r="F114" s="630">
        <f>'Vivienda Objeto'!F33</f>
        <v>0.46</v>
      </c>
      <c r="G114" s="611" t="s">
        <v>1124</v>
      </c>
      <c r="H114" s="611"/>
      <c r="I114" s="611"/>
      <c r="J114" s="611"/>
      <c r="K114" s="611"/>
      <c r="L114" s="612"/>
    </row>
    <row r="115" spans="2:12" s="610" customFormat="1" ht="18" customHeight="1" x14ac:dyDescent="0.2">
      <c r="B115" s="595"/>
      <c r="C115" s="1110" t="s">
        <v>889</v>
      </c>
      <c r="D115" s="611"/>
      <c r="E115" s="591">
        <v>66</v>
      </c>
      <c r="F115" s="630">
        <f>'Vivienda Objeto'!J33</f>
        <v>1.9</v>
      </c>
      <c r="G115" s="611" t="s">
        <v>1124</v>
      </c>
      <c r="H115" s="611"/>
      <c r="I115" s="611"/>
      <c r="J115" s="611"/>
      <c r="K115" s="611"/>
      <c r="L115" s="612"/>
    </row>
    <row r="116" spans="2:12" s="610" customFormat="1" ht="9" customHeight="1" x14ac:dyDescent="0.2">
      <c r="B116" s="595"/>
      <c r="C116" s="1110"/>
      <c r="D116" s="611"/>
      <c r="E116" s="596"/>
      <c r="F116" s="376"/>
      <c r="G116" s="611"/>
      <c r="H116" s="611"/>
      <c r="I116" s="611"/>
      <c r="J116" s="611"/>
      <c r="K116" s="611"/>
      <c r="L116" s="612"/>
    </row>
    <row r="117" spans="2:12" s="610" customFormat="1" ht="18" customHeight="1" x14ac:dyDescent="0.2">
      <c r="B117" s="595"/>
      <c r="C117" s="626" t="s">
        <v>987</v>
      </c>
      <c r="D117" s="611"/>
      <c r="E117" s="596"/>
      <c r="F117" s="376"/>
      <c r="G117" s="611"/>
      <c r="H117" s="611"/>
      <c r="I117" s="611"/>
      <c r="J117" s="611"/>
      <c r="K117" s="611"/>
      <c r="L117" s="612"/>
    </row>
    <row r="118" spans="2:12" s="610" customFormat="1" ht="18" customHeight="1" x14ac:dyDescent="0.2">
      <c r="B118" s="595"/>
      <c r="C118" s="1110" t="s">
        <v>874</v>
      </c>
      <c r="D118" s="611"/>
      <c r="E118" s="591">
        <v>67</v>
      </c>
      <c r="F118" s="618">
        <f>'Vivienda Objeto'!D30</f>
        <v>0</v>
      </c>
      <c r="G118" s="611" t="s">
        <v>1123</v>
      </c>
      <c r="H118" s="611"/>
      <c r="I118" s="611"/>
      <c r="J118" s="611"/>
      <c r="K118" s="611"/>
      <c r="L118" s="612"/>
    </row>
    <row r="119" spans="2:12" s="610" customFormat="1" ht="60" customHeight="1" x14ac:dyDescent="0.2">
      <c r="B119" s="595"/>
      <c r="C119" s="1111" t="s">
        <v>754</v>
      </c>
      <c r="D119" s="603"/>
      <c r="E119" s="600">
        <v>68</v>
      </c>
      <c r="F119" s="1287">
        <f>CE_Chile!D33</f>
        <v>0</v>
      </c>
      <c r="G119" s="1288"/>
      <c r="H119" s="1288"/>
      <c r="I119" s="1288"/>
      <c r="J119" s="1288"/>
      <c r="K119" s="1289"/>
      <c r="L119" s="612"/>
    </row>
    <row r="120" spans="2:12" s="610" customFormat="1" ht="18" customHeight="1" x14ac:dyDescent="0.2">
      <c r="B120" s="595"/>
      <c r="C120" s="1110" t="s">
        <v>876</v>
      </c>
      <c r="D120" s="611"/>
      <c r="E120" s="591">
        <v>69</v>
      </c>
      <c r="F120" s="630">
        <f>'Vivienda Objeto'!F30</f>
        <v>0</v>
      </c>
      <c r="G120" s="611" t="s">
        <v>1124</v>
      </c>
      <c r="H120" s="611"/>
      <c r="I120" s="611"/>
      <c r="J120" s="611"/>
      <c r="K120" s="611"/>
      <c r="L120" s="612"/>
    </row>
    <row r="121" spans="2:12" s="610" customFormat="1" ht="18" customHeight="1" x14ac:dyDescent="0.2">
      <c r="B121" s="595"/>
      <c r="C121" s="1110" t="s">
        <v>889</v>
      </c>
      <c r="D121" s="611"/>
      <c r="E121" s="591">
        <v>70</v>
      </c>
      <c r="F121" s="630">
        <f>'Vivienda Objeto'!J30</f>
        <v>0</v>
      </c>
      <c r="G121" s="611" t="s">
        <v>1124</v>
      </c>
      <c r="H121" s="611"/>
      <c r="I121" s="611"/>
      <c r="J121" s="611"/>
      <c r="K121" s="611"/>
      <c r="L121" s="612"/>
    </row>
    <row r="122" spans="2:12" s="610" customFormat="1" ht="5.25" customHeight="1" x14ac:dyDescent="0.2">
      <c r="B122" s="595"/>
      <c r="C122" s="1110"/>
      <c r="D122" s="611"/>
      <c r="E122" s="596"/>
      <c r="F122" s="376"/>
      <c r="G122" s="611"/>
      <c r="H122" s="611"/>
      <c r="I122" s="611"/>
      <c r="J122" s="611"/>
      <c r="K122" s="611"/>
      <c r="L122" s="612"/>
    </row>
    <row r="123" spans="2:12" s="610" customFormat="1" ht="18" customHeight="1" x14ac:dyDescent="0.2">
      <c r="B123" s="595"/>
      <c r="C123" s="626" t="s">
        <v>746</v>
      </c>
      <c r="D123" s="611"/>
      <c r="E123" s="596"/>
      <c r="F123" s="376"/>
      <c r="G123" s="611"/>
      <c r="H123" s="611"/>
      <c r="I123" s="611"/>
      <c r="J123" s="611"/>
      <c r="K123" s="611"/>
      <c r="L123" s="612"/>
    </row>
    <row r="124" spans="2:12" s="610" customFormat="1" ht="18" customHeight="1" x14ac:dyDescent="0.2">
      <c r="B124" s="595"/>
      <c r="C124" s="1110" t="s">
        <v>874</v>
      </c>
      <c r="D124" s="611"/>
      <c r="E124" s="591">
        <v>71</v>
      </c>
      <c r="F124" s="618">
        <f>'Vivienda Objeto'!D35</f>
        <v>71.650000000000006</v>
      </c>
      <c r="G124" s="611" t="s">
        <v>1123</v>
      </c>
      <c r="H124" s="611"/>
      <c r="I124" s="611"/>
      <c r="J124" s="611"/>
      <c r="K124" s="611"/>
      <c r="L124" s="612"/>
    </row>
    <row r="125" spans="2:12" s="610" customFormat="1" ht="60" customHeight="1" x14ac:dyDescent="0.2">
      <c r="B125" s="595"/>
      <c r="C125" s="1111" t="s">
        <v>754</v>
      </c>
      <c r="D125" s="603"/>
      <c r="E125" s="600">
        <v>72</v>
      </c>
      <c r="F125" s="1287">
        <f>CE_Chile!D34</f>
        <v>0</v>
      </c>
      <c r="G125" s="1288"/>
      <c r="H125" s="1288"/>
      <c r="I125" s="1288"/>
      <c r="J125" s="1288"/>
      <c r="K125" s="1289"/>
      <c r="L125" s="612"/>
    </row>
    <row r="126" spans="2:12" s="610" customFormat="1" ht="18" customHeight="1" x14ac:dyDescent="0.2">
      <c r="B126" s="595"/>
      <c r="C126" s="1110" t="s">
        <v>877</v>
      </c>
      <c r="D126" s="611"/>
      <c r="E126" s="591">
        <v>73</v>
      </c>
      <c r="F126" s="630">
        <f>'Vivienda Objeto'!F35</f>
        <v>0.46700000000000003</v>
      </c>
      <c r="G126" s="611" t="s">
        <v>1124</v>
      </c>
      <c r="H126" s="611"/>
      <c r="I126" s="611"/>
      <c r="J126" s="611"/>
      <c r="K126" s="611"/>
      <c r="L126" s="612"/>
    </row>
    <row r="127" spans="2:12" s="610" customFormat="1" ht="18" customHeight="1" x14ac:dyDescent="0.2">
      <c r="B127" s="595"/>
      <c r="C127" s="1110" t="s">
        <v>889</v>
      </c>
      <c r="D127" s="611"/>
      <c r="E127" s="591">
        <v>74</v>
      </c>
      <c r="F127" s="630">
        <f>'Vivienda Objeto'!J35</f>
        <v>0.47</v>
      </c>
      <c r="G127" s="611" t="s">
        <v>1124</v>
      </c>
      <c r="H127" s="611"/>
      <c r="I127" s="611"/>
      <c r="J127" s="611"/>
      <c r="K127" s="611"/>
      <c r="L127" s="612"/>
    </row>
    <row r="128" spans="2:12" s="610" customFormat="1" ht="7.5" customHeight="1" x14ac:dyDescent="0.2">
      <c r="B128" s="595"/>
      <c r="C128" s="1110"/>
      <c r="D128" s="611"/>
      <c r="E128" s="596"/>
      <c r="F128" s="376"/>
      <c r="G128" s="611"/>
      <c r="H128" s="611"/>
      <c r="I128" s="611"/>
      <c r="J128" s="611"/>
      <c r="K128" s="611"/>
      <c r="L128" s="612"/>
    </row>
    <row r="129" spans="2:12" s="610" customFormat="1" ht="18" customHeight="1" x14ac:dyDescent="0.2">
      <c r="B129" s="595"/>
      <c r="C129" s="626" t="s">
        <v>747</v>
      </c>
      <c r="D129" s="611"/>
      <c r="E129" s="596"/>
      <c r="F129" s="376"/>
      <c r="G129" s="611"/>
      <c r="H129" s="611"/>
      <c r="I129" s="611"/>
      <c r="J129" s="611"/>
      <c r="K129" s="611"/>
      <c r="L129" s="612"/>
    </row>
    <row r="130" spans="2:12" s="610" customFormat="1" ht="18" customHeight="1" x14ac:dyDescent="0.2">
      <c r="B130" s="595"/>
      <c r="C130" s="1110" t="s">
        <v>874</v>
      </c>
      <c r="D130" s="611"/>
      <c r="E130" s="591">
        <v>75</v>
      </c>
      <c r="F130" s="618">
        <f>'Vivienda Objeto'!D36</f>
        <v>0</v>
      </c>
      <c r="G130" s="611" t="s">
        <v>1123</v>
      </c>
      <c r="H130" s="611"/>
      <c r="I130" s="611"/>
      <c r="J130" s="611"/>
      <c r="K130" s="611"/>
      <c r="L130" s="612"/>
    </row>
    <row r="131" spans="2:12" s="610" customFormat="1" ht="60" customHeight="1" x14ac:dyDescent="0.2">
      <c r="B131" s="595"/>
      <c r="C131" s="1111" t="s">
        <v>754</v>
      </c>
      <c r="D131" s="603"/>
      <c r="E131" s="600">
        <v>76</v>
      </c>
      <c r="F131" s="1287">
        <f>CE_Chile!D35</f>
        <v>0</v>
      </c>
      <c r="G131" s="1288"/>
      <c r="H131" s="1288"/>
      <c r="I131" s="1288"/>
      <c r="J131" s="1288"/>
      <c r="K131" s="1289"/>
      <c r="L131" s="612"/>
    </row>
    <row r="132" spans="2:12" s="610" customFormat="1" ht="18" customHeight="1" x14ac:dyDescent="0.2">
      <c r="B132" s="595"/>
      <c r="C132" s="1110" t="s">
        <v>877</v>
      </c>
      <c r="D132" s="611"/>
      <c r="E132" s="591">
        <v>77</v>
      </c>
      <c r="F132" s="630">
        <f>'Vivienda Objeto'!F36</f>
        <v>0</v>
      </c>
      <c r="G132" s="611" t="s">
        <v>1124</v>
      </c>
      <c r="H132" s="611"/>
      <c r="I132" s="611"/>
      <c r="J132" s="611"/>
      <c r="K132" s="611"/>
      <c r="L132" s="612"/>
    </row>
    <row r="133" spans="2:12" s="610" customFormat="1" ht="18" customHeight="1" x14ac:dyDescent="0.2">
      <c r="B133" s="595"/>
      <c r="C133" s="1110" t="s">
        <v>889</v>
      </c>
      <c r="D133" s="611"/>
      <c r="E133" s="591">
        <v>78</v>
      </c>
      <c r="F133" s="630">
        <f>'Vivienda Objeto'!J36</f>
        <v>0.47</v>
      </c>
      <c r="G133" s="611" t="s">
        <v>1124</v>
      </c>
      <c r="H133" s="611"/>
      <c r="I133" s="611"/>
      <c r="J133" s="611"/>
      <c r="K133" s="611"/>
      <c r="L133" s="612"/>
    </row>
    <row r="134" spans="2:12" s="610" customFormat="1" ht="7.5" customHeight="1" x14ac:dyDescent="0.2">
      <c r="B134" s="595"/>
      <c r="C134" s="1110"/>
      <c r="D134" s="611"/>
      <c r="E134" s="596"/>
      <c r="F134" s="376"/>
      <c r="G134" s="611"/>
      <c r="H134" s="611"/>
      <c r="I134" s="611"/>
      <c r="J134" s="611"/>
      <c r="K134" s="611"/>
      <c r="L134" s="612"/>
    </row>
    <row r="135" spans="2:12" s="610" customFormat="1" ht="18" customHeight="1" x14ac:dyDescent="0.2">
      <c r="B135" s="595"/>
      <c r="C135" s="626" t="s">
        <v>735</v>
      </c>
      <c r="D135" s="611"/>
      <c r="E135" s="596"/>
      <c r="F135" s="376"/>
      <c r="G135" s="611"/>
      <c r="H135" s="611"/>
      <c r="I135" s="611"/>
      <c r="J135" s="611"/>
      <c r="K135" s="611"/>
      <c r="L135" s="612"/>
    </row>
    <row r="136" spans="2:12" s="610" customFormat="1" ht="18" customHeight="1" x14ac:dyDescent="0.2">
      <c r="B136" s="595"/>
      <c r="C136" s="1110" t="s">
        <v>874</v>
      </c>
      <c r="D136" s="611"/>
      <c r="E136" s="591">
        <v>79</v>
      </c>
      <c r="F136" s="618">
        <f>'Vivienda Objeto'!D28</f>
        <v>23.57</v>
      </c>
      <c r="G136" s="611" t="s">
        <v>1123</v>
      </c>
      <c r="H136" s="611"/>
      <c r="I136" s="611"/>
      <c r="J136" s="611"/>
      <c r="K136" s="611"/>
      <c r="L136" s="612"/>
    </row>
    <row r="137" spans="2:12" s="610" customFormat="1" ht="60" customHeight="1" x14ac:dyDescent="0.2">
      <c r="B137" s="595"/>
      <c r="C137" s="1111" t="s">
        <v>754</v>
      </c>
      <c r="D137" s="603"/>
      <c r="E137" s="600">
        <v>80</v>
      </c>
      <c r="F137" s="1287">
        <f>CE_Chile!D36</f>
        <v>0</v>
      </c>
      <c r="G137" s="1288"/>
      <c r="H137" s="1288"/>
      <c r="I137" s="1288"/>
      <c r="J137" s="1288"/>
      <c r="K137" s="1289"/>
      <c r="L137" s="612"/>
    </row>
    <row r="138" spans="2:12" s="610" customFormat="1" ht="18" customHeight="1" x14ac:dyDescent="0.2">
      <c r="B138" s="595"/>
      <c r="C138" s="1110" t="s">
        <v>878</v>
      </c>
      <c r="D138" s="611"/>
      <c r="E138" s="591">
        <v>81</v>
      </c>
      <c r="F138" s="630">
        <f>'Vivienda Objeto'!F28</f>
        <v>5.8</v>
      </c>
      <c r="G138" s="611" t="s">
        <v>1124</v>
      </c>
      <c r="H138" s="611"/>
      <c r="I138" s="611"/>
      <c r="J138" s="611"/>
      <c r="K138" s="611"/>
      <c r="L138" s="612"/>
    </row>
    <row r="139" spans="2:12" s="610" customFormat="1" ht="6" customHeight="1" x14ac:dyDescent="0.2">
      <c r="B139" s="595"/>
      <c r="C139" s="1110"/>
      <c r="D139" s="611"/>
      <c r="E139" s="596"/>
      <c r="F139" s="376"/>
      <c r="G139" s="611"/>
      <c r="H139" s="611"/>
      <c r="I139" s="611"/>
      <c r="J139" s="611"/>
      <c r="K139" s="611"/>
      <c r="L139" s="612"/>
    </row>
    <row r="140" spans="2:12" s="610" customFormat="1" ht="18" customHeight="1" x14ac:dyDescent="0.2">
      <c r="B140" s="595"/>
      <c r="C140" s="626" t="s">
        <v>736</v>
      </c>
      <c r="D140" s="611"/>
      <c r="E140" s="596"/>
      <c r="F140" s="376"/>
      <c r="G140" s="611"/>
      <c r="H140" s="611"/>
      <c r="I140" s="611"/>
      <c r="J140" s="611"/>
      <c r="K140" s="611"/>
      <c r="L140" s="612"/>
    </row>
    <row r="141" spans="2:12" s="610" customFormat="1" ht="18" customHeight="1" x14ac:dyDescent="0.2">
      <c r="B141" s="595"/>
      <c r="C141" s="1110" t="s">
        <v>874</v>
      </c>
      <c r="D141" s="611"/>
      <c r="E141" s="591">
        <v>82</v>
      </c>
      <c r="F141" s="618">
        <f>'Vivienda Objeto'!D29</f>
        <v>0</v>
      </c>
      <c r="G141" s="611" t="s">
        <v>1123</v>
      </c>
      <c r="H141" s="611"/>
      <c r="I141" s="611"/>
      <c r="J141" s="611"/>
      <c r="K141" s="611"/>
      <c r="L141" s="612"/>
    </row>
    <row r="142" spans="2:12" s="610" customFormat="1" ht="60" customHeight="1" x14ac:dyDescent="0.2">
      <c r="B142" s="595"/>
      <c r="C142" s="1111" t="s">
        <v>754</v>
      </c>
      <c r="D142" s="603"/>
      <c r="E142" s="600">
        <v>83</v>
      </c>
      <c r="F142" s="1287">
        <f>CE_Chile!D37</f>
        <v>0</v>
      </c>
      <c r="G142" s="1288"/>
      <c r="H142" s="1288"/>
      <c r="I142" s="1288"/>
      <c r="J142" s="1288"/>
      <c r="K142" s="1289"/>
      <c r="L142" s="612"/>
    </row>
    <row r="143" spans="2:12" s="610" customFormat="1" ht="18" customHeight="1" x14ac:dyDescent="0.2">
      <c r="B143" s="595"/>
      <c r="C143" s="1110" t="s">
        <v>878</v>
      </c>
      <c r="D143" s="611"/>
      <c r="E143" s="591">
        <v>84</v>
      </c>
      <c r="F143" s="630">
        <f>'Vivienda Objeto'!F29</f>
        <v>0</v>
      </c>
      <c r="G143" s="611" t="s">
        <v>1124</v>
      </c>
      <c r="H143" s="611"/>
      <c r="I143" s="611"/>
      <c r="J143" s="611"/>
      <c r="K143" s="611"/>
      <c r="L143" s="612"/>
    </row>
    <row r="144" spans="2:12" s="610" customFormat="1" ht="18" customHeight="1" x14ac:dyDescent="0.2">
      <c r="B144" s="595"/>
      <c r="C144" s="1110"/>
      <c r="D144" s="611"/>
      <c r="E144" s="596"/>
      <c r="F144" s="376"/>
      <c r="G144" s="611"/>
      <c r="H144" s="611"/>
      <c r="I144" s="611"/>
      <c r="J144" s="611"/>
      <c r="K144" s="611"/>
      <c r="L144" s="612"/>
    </row>
    <row r="145" spans="2:12" s="610" customFormat="1" ht="18" customHeight="1" x14ac:dyDescent="0.2">
      <c r="B145" s="595"/>
      <c r="C145" s="1110"/>
      <c r="D145" s="611"/>
      <c r="E145" s="596"/>
      <c r="F145" s="376"/>
      <c r="G145" s="611"/>
      <c r="H145" s="611"/>
      <c r="I145" s="611"/>
      <c r="J145" s="611"/>
      <c r="K145" s="611"/>
      <c r="L145" s="612"/>
    </row>
    <row r="146" spans="2:12" s="610" customFormat="1" ht="60" customHeight="1" x14ac:dyDescent="0.2">
      <c r="B146" s="595"/>
      <c r="C146" s="1112" t="s">
        <v>880</v>
      </c>
      <c r="D146" s="209"/>
      <c r="E146" s="600">
        <v>85</v>
      </c>
      <c r="F146" s="1290">
        <f>CE_Chile!E41</f>
        <v>0</v>
      </c>
      <c r="G146" s="1291"/>
      <c r="H146" s="1291"/>
      <c r="I146" s="1291"/>
      <c r="J146" s="1291"/>
      <c r="K146" s="1292"/>
      <c r="L146" s="612"/>
    </row>
    <row r="147" spans="2:12" s="610" customFormat="1" ht="60" customHeight="1" x14ac:dyDescent="0.2">
      <c r="B147" s="595"/>
      <c r="C147" s="1112" t="s">
        <v>879</v>
      </c>
      <c r="D147" s="209"/>
      <c r="E147" s="600">
        <v>86</v>
      </c>
      <c r="F147" s="1287">
        <f>CE_Chile!E42</f>
        <v>0</v>
      </c>
      <c r="G147" s="1288"/>
      <c r="H147" s="1288"/>
      <c r="I147" s="1288"/>
      <c r="J147" s="1288"/>
      <c r="K147" s="1289"/>
      <c r="L147" s="612"/>
    </row>
    <row r="148" spans="2:12" s="610" customFormat="1" ht="18" customHeight="1" x14ac:dyDescent="0.2">
      <c r="B148" s="595"/>
      <c r="C148" s="1110"/>
      <c r="D148" s="611"/>
      <c r="E148" s="596"/>
      <c r="F148" s="376"/>
      <c r="G148" s="611"/>
      <c r="H148" s="611"/>
      <c r="I148" s="611"/>
      <c r="J148" s="611"/>
      <c r="K148" s="611"/>
      <c r="L148" s="612"/>
    </row>
    <row r="149" spans="2:12" s="610" customFormat="1" ht="18" customHeight="1" x14ac:dyDescent="0.2">
      <c r="B149" s="595"/>
      <c r="C149" s="1110" t="s">
        <v>886</v>
      </c>
      <c r="D149" s="611"/>
      <c r="E149" s="591">
        <v>87</v>
      </c>
      <c r="F149" s="616">
        <f>F79</f>
        <v>0</v>
      </c>
      <c r="G149" s="614"/>
      <c r="H149" s="614"/>
      <c r="I149" s="614"/>
      <c r="J149" s="614"/>
      <c r="K149" s="615"/>
      <c r="L149" s="612"/>
    </row>
    <row r="150" spans="2:12" s="610" customFormat="1" ht="18" customHeight="1" x14ac:dyDescent="0.2">
      <c r="B150" s="595"/>
      <c r="C150" s="1110" t="s">
        <v>1152</v>
      </c>
      <c r="D150" s="611"/>
      <c r="E150" s="591">
        <v>88</v>
      </c>
      <c r="F150" s="617">
        <f>F80</f>
        <v>0</v>
      </c>
      <c r="G150" s="614"/>
      <c r="H150" s="614"/>
      <c r="I150" s="614"/>
      <c r="J150" s="614"/>
      <c r="K150" s="615"/>
      <c r="L150" s="612"/>
    </row>
    <row r="151" spans="2:12" s="610" customFormat="1" ht="18" customHeight="1" x14ac:dyDescent="0.2">
      <c r="B151" s="595"/>
      <c r="C151" s="1110"/>
      <c r="D151" s="611"/>
      <c r="E151" s="596"/>
      <c r="F151" s="376"/>
      <c r="G151" s="611"/>
      <c r="H151" s="611"/>
      <c r="I151" s="611"/>
      <c r="J151" s="611"/>
      <c r="K151" s="611"/>
      <c r="L151" s="612"/>
    </row>
    <row r="152" spans="2:12" s="610" customFormat="1" ht="18" customHeight="1" x14ac:dyDescent="0.2">
      <c r="B152" s="595"/>
      <c r="C152" s="611"/>
      <c r="D152" s="611"/>
      <c r="E152" s="596"/>
      <c r="F152" s="376"/>
      <c r="G152" s="611"/>
      <c r="H152" s="611"/>
      <c r="I152" s="611"/>
      <c r="J152" s="611"/>
      <c r="K152" s="611"/>
      <c r="L152" s="612"/>
    </row>
    <row r="153" spans="2:12" s="610" customFormat="1" ht="18" customHeight="1" x14ac:dyDescent="0.2">
      <c r="B153" s="637"/>
      <c r="C153" s="606" t="s">
        <v>236</v>
      </c>
      <c r="D153" s="606"/>
      <c r="E153" s="602"/>
      <c r="F153" s="624"/>
      <c r="G153" s="606"/>
      <c r="H153" s="606"/>
      <c r="I153" s="606"/>
      <c r="J153" s="606"/>
      <c r="K153" s="606"/>
      <c r="L153" s="636"/>
    </row>
    <row r="154" spans="2:12" s="610" customFormat="1" ht="18" customHeight="1" x14ac:dyDescent="0.2">
      <c r="B154" s="595"/>
      <c r="C154" s="611"/>
      <c r="D154" s="611"/>
      <c r="E154" s="596"/>
      <c r="F154" s="376"/>
      <c r="G154" s="611"/>
      <c r="H154" s="611"/>
      <c r="I154" s="611"/>
      <c r="J154" s="611"/>
      <c r="K154" s="611"/>
      <c r="L154" s="612"/>
    </row>
    <row r="155" spans="2:12" s="610" customFormat="1" ht="18" customHeight="1" x14ac:dyDescent="0.2">
      <c r="B155" s="595"/>
      <c r="C155" s="1110" t="s">
        <v>1151</v>
      </c>
      <c r="D155" s="611"/>
      <c r="E155" s="591">
        <v>89</v>
      </c>
      <c r="F155" s="613" t="str">
        <f>F84</f>
        <v>Calificación Energética</v>
      </c>
      <c r="G155" s="614"/>
      <c r="H155" s="614"/>
      <c r="I155" s="615"/>
      <c r="J155" s="611"/>
      <c r="K155" s="611"/>
      <c r="L155" s="612"/>
    </row>
    <row r="156" spans="2:12" s="610" customFormat="1" ht="18" customHeight="1" x14ac:dyDescent="0.2">
      <c r="B156" s="595"/>
      <c r="C156" s="1110" t="s">
        <v>1147</v>
      </c>
      <c r="D156" s="611"/>
      <c r="E156" s="591">
        <v>90</v>
      </c>
      <c r="F156" s="613" t="str">
        <f>F85</f>
        <v>Calificación Energética</v>
      </c>
      <c r="G156" s="614"/>
      <c r="H156" s="614"/>
      <c r="I156" s="615"/>
      <c r="J156" s="611"/>
      <c r="K156" s="611"/>
      <c r="L156" s="612"/>
    </row>
    <row r="157" spans="2:12" s="610" customFormat="1" ht="18" customHeight="1" x14ac:dyDescent="0.2">
      <c r="B157" s="595"/>
      <c r="C157" s="1110" t="s">
        <v>1150</v>
      </c>
      <c r="D157" s="611"/>
      <c r="E157" s="591">
        <v>91</v>
      </c>
      <c r="F157" s="616">
        <f>F86</f>
        <v>0</v>
      </c>
      <c r="G157" s="614"/>
      <c r="H157" s="614"/>
      <c r="I157" s="615"/>
      <c r="J157" s="611"/>
      <c r="K157" s="611"/>
      <c r="L157" s="612"/>
    </row>
    <row r="158" spans="2:12" s="610" customFormat="1" ht="18" customHeight="1" x14ac:dyDescent="0.2">
      <c r="B158" s="595"/>
      <c r="C158" s="1120"/>
      <c r="D158" s="635"/>
      <c r="E158" s="803"/>
      <c r="F158" s="817"/>
      <c r="G158" s="635"/>
      <c r="H158" s="635"/>
      <c r="I158" s="635"/>
      <c r="J158" s="611"/>
      <c r="K158" s="611"/>
      <c r="L158" s="612"/>
    </row>
    <row r="159" spans="2:12" s="610" customFormat="1" ht="18" customHeight="1" x14ac:dyDescent="0.2">
      <c r="B159" s="595"/>
      <c r="C159" s="1110" t="s">
        <v>886</v>
      </c>
      <c r="D159" s="611"/>
      <c r="E159" s="591">
        <v>92</v>
      </c>
      <c r="F159" s="616">
        <f>F149</f>
        <v>0</v>
      </c>
      <c r="G159" s="614"/>
      <c r="H159" s="614"/>
      <c r="I159" s="614"/>
      <c r="J159" s="614"/>
      <c r="K159" s="615"/>
      <c r="L159" s="612"/>
    </row>
    <row r="160" spans="2:12" s="610" customFormat="1" ht="18" customHeight="1" x14ac:dyDescent="0.2">
      <c r="B160" s="595"/>
      <c r="C160" s="1110" t="s">
        <v>1152</v>
      </c>
      <c r="D160" s="611"/>
      <c r="E160" s="591">
        <v>93</v>
      </c>
      <c r="F160" s="617">
        <f>F150</f>
        <v>0</v>
      </c>
      <c r="G160" s="614"/>
      <c r="H160" s="614"/>
      <c r="I160" s="614"/>
      <c r="J160" s="614"/>
      <c r="K160" s="615"/>
      <c r="L160" s="612"/>
    </row>
    <row r="161" spans="2:12" s="610" customFormat="1" ht="18" customHeight="1" x14ac:dyDescent="0.2">
      <c r="B161" s="595"/>
      <c r="C161" s="1110"/>
      <c r="D161" s="611"/>
      <c r="E161" s="596"/>
      <c r="F161" s="1034"/>
      <c r="G161" s="1035"/>
      <c r="H161" s="1035"/>
      <c r="I161" s="1035"/>
      <c r="J161" s="1035"/>
      <c r="K161" s="1036"/>
      <c r="L161" s="612"/>
    </row>
    <row r="162" spans="2:12" s="610" customFormat="1" ht="18" customHeight="1" x14ac:dyDescent="0.2">
      <c r="B162" s="595"/>
      <c r="C162" s="1110" t="s">
        <v>886</v>
      </c>
      <c r="D162" s="611"/>
      <c r="E162" s="591">
        <v>94</v>
      </c>
      <c r="F162" s="616">
        <f>F159</f>
        <v>0</v>
      </c>
      <c r="G162" s="614"/>
      <c r="H162" s="614"/>
      <c r="I162" s="614"/>
      <c r="J162" s="614"/>
      <c r="K162" s="615"/>
      <c r="L162" s="612"/>
    </row>
    <row r="163" spans="2:12" s="610" customFormat="1" ht="18" customHeight="1" x14ac:dyDescent="0.2">
      <c r="B163" s="595"/>
      <c r="C163" s="1110" t="s">
        <v>1152</v>
      </c>
      <c r="D163" s="611"/>
      <c r="E163" s="591">
        <v>95</v>
      </c>
      <c r="F163" s="617">
        <f>F160</f>
        <v>0</v>
      </c>
      <c r="G163" s="614"/>
      <c r="H163" s="614"/>
      <c r="I163" s="614"/>
      <c r="J163" s="614"/>
      <c r="K163" s="615"/>
      <c r="L163" s="612"/>
    </row>
    <row r="164" spans="2:12" s="610" customFormat="1" ht="18" customHeight="1" x14ac:dyDescent="0.2">
      <c r="B164" s="604"/>
      <c r="C164" s="631"/>
      <c r="D164" s="631"/>
      <c r="E164" s="605"/>
      <c r="F164" s="632"/>
      <c r="G164" s="631"/>
      <c r="H164" s="631"/>
      <c r="I164" s="631"/>
      <c r="J164" s="631"/>
      <c r="K164" s="631"/>
      <c r="L164" s="633"/>
    </row>
    <row r="165" spans="2:12" s="610" customFormat="1" x14ac:dyDescent="0.2">
      <c r="B165" s="461"/>
      <c r="E165" s="461"/>
      <c r="F165" s="460"/>
    </row>
    <row r="166" spans="2:12" s="610" customFormat="1" x14ac:dyDescent="0.2">
      <c r="B166" s="461"/>
      <c r="E166" s="461"/>
      <c r="F166" s="460"/>
    </row>
  </sheetData>
  <sheetProtection password="EE37" sheet="1" objects="1" scenarios="1"/>
  <mergeCells count="19">
    <mergeCell ref="F147:K147"/>
    <mergeCell ref="F146:K146"/>
    <mergeCell ref="F137:K137"/>
    <mergeCell ref="F142:K142"/>
    <mergeCell ref="F59:G59"/>
    <mergeCell ref="F67:G67"/>
    <mergeCell ref="F68:G68"/>
    <mergeCell ref="F64:G64"/>
    <mergeCell ref="F69:G69"/>
    <mergeCell ref="F131:K131"/>
    <mergeCell ref="F107:K107"/>
    <mergeCell ref="F113:K113"/>
    <mergeCell ref="F119:K119"/>
    <mergeCell ref="F125:K125"/>
    <mergeCell ref="F22:I22"/>
    <mergeCell ref="F27:G27"/>
    <mergeCell ref="F28:G28"/>
    <mergeCell ref="F58:G58"/>
    <mergeCell ref="F53:I53"/>
  </mergeCells>
  <phoneticPr fontId="42" type="noConversion"/>
  <conditionalFormatting sqref="F53:I53 F22:I22">
    <cfRule type="expression" dxfId="56" priority="1" stopIfTrue="1">
      <formula>$L$50=1</formula>
    </cfRule>
  </conditionalFormatting>
  <pageMargins left="0.75" right="0.75" top="1" bottom="1" header="0" footer="0"/>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3"/>
    <pageSetUpPr autoPageBreaks="0"/>
  </sheetPr>
  <dimension ref="A1:K167"/>
  <sheetViews>
    <sheetView showGridLines="0" showZeros="0" topLeftCell="A126" zoomScaleNormal="170" zoomScalePageLayoutView="170" workbookViewId="0">
      <selection activeCell="F143" sqref="F143"/>
    </sheetView>
  </sheetViews>
  <sheetFormatPr baseColWidth="10" defaultRowHeight="12.75" x14ac:dyDescent="0.2"/>
  <cols>
    <col min="1" max="1" width="2.85546875" customWidth="1"/>
    <col min="2" max="2" width="2.5703125" customWidth="1"/>
    <col min="3" max="3" width="48.85546875" customWidth="1"/>
    <col min="4" max="4" width="10" style="651" customWidth="1"/>
    <col min="5" max="5" width="4.42578125" style="651" customWidth="1"/>
    <col min="6" max="6" width="9" style="651" customWidth="1"/>
    <col min="7" max="7" width="2.42578125" customWidth="1"/>
    <col min="8" max="8" width="14.85546875" style="643" customWidth="1"/>
    <col min="9" max="9" width="5" customWidth="1"/>
  </cols>
  <sheetData>
    <row r="1" spans="1:10" x14ac:dyDescent="0.2">
      <c r="B1" s="461"/>
    </row>
    <row r="2" spans="1:10" x14ac:dyDescent="0.2">
      <c r="B2" s="461"/>
    </row>
    <row r="3" spans="1:10" x14ac:dyDescent="0.2">
      <c r="B3" s="461"/>
    </row>
    <row r="4" spans="1:10" x14ac:dyDescent="0.2">
      <c r="B4" s="461"/>
    </row>
    <row r="5" spans="1:10" x14ac:dyDescent="0.2">
      <c r="B5" s="461"/>
    </row>
    <row r="6" spans="1:10" x14ac:dyDescent="0.2">
      <c r="B6" s="461"/>
    </row>
    <row r="7" spans="1:10" ht="15.75" x14ac:dyDescent="0.2">
      <c r="A7" s="610"/>
      <c r="B7" s="593"/>
      <c r="C7" s="607" t="s">
        <v>911</v>
      </c>
      <c r="D7" s="652"/>
      <c r="E7" s="652"/>
      <c r="F7" s="652"/>
      <c r="G7" s="608"/>
      <c r="H7" s="645"/>
      <c r="I7" s="634"/>
      <c r="J7" s="610"/>
    </row>
    <row r="8" spans="1:10" ht="15.75" x14ac:dyDescent="0.2">
      <c r="A8" s="610"/>
      <c r="B8" s="675"/>
      <c r="C8" s="670"/>
      <c r="D8" s="671"/>
      <c r="E8" s="671"/>
      <c r="F8" s="671"/>
      <c r="G8" s="672"/>
      <c r="H8" s="673"/>
      <c r="I8" s="674"/>
      <c r="J8" s="610"/>
    </row>
    <row r="9" spans="1:10" s="11" customFormat="1" x14ac:dyDescent="0.2">
      <c r="A9" s="623"/>
      <c r="B9" s="666"/>
      <c r="C9" s="606" t="s">
        <v>257</v>
      </c>
      <c r="D9" s="667"/>
      <c r="E9" s="667"/>
      <c r="F9" s="667"/>
      <c r="G9" s="668"/>
      <c r="H9" s="669"/>
      <c r="I9" s="636"/>
      <c r="J9" s="623"/>
    </row>
    <row r="10" spans="1:10" s="11" customFormat="1" ht="9.75" customHeight="1" x14ac:dyDescent="0.2">
      <c r="A10" s="623"/>
      <c r="B10" s="640"/>
      <c r="C10" s="676"/>
      <c r="D10" s="653"/>
      <c r="E10" s="653"/>
      <c r="F10" s="653"/>
      <c r="G10" s="641"/>
      <c r="H10" s="646"/>
      <c r="I10" s="642"/>
      <c r="J10" s="623"/>
    </row>
    <row r="11" spans="1:10" x14ac:dyDescent="0.2">
      <c r="A11" s="610"/>
      <c r="B11" s="595"/>
      <c r="C11" s="611"/>
      <c r="D11" s="654" t="s">
        <v>905</v>
      </c>
      <c r="E11" s="654"/>
      <c r="F11" s="654" t="s">
        <v>604</v>
      </c>
      <c r="G11" s="611"/>
      <c r="H11" s="647"/>
      <c r="I11" s="612"/>
      <c r="J11" s="610"/>
    </row>
    <row r="12" spans="1:10" ht="14.25" x14ac:dyDescent="0.2">
      <c r="A12" s="610"/>
      <c r="B12" s="595"/>
      <c r="C12" s="19" t="s">
        <v>913</v>
      </c>
      <c r="D12" s="660">
        <f>'Vivienda Objeto'!D17</f>
        <v>111.05</v>
      </c>
      <c r="E12" s="690"/>
      <c r="F12" s="664">
        <f>Referencia!C4</f>
        <v>111.05</v>
      </c>
      <c r="G12" s="22"/>
      <c r="H12" s="647" t="s">
        <v>1125</v>
      </c>
      <c r="I12" s="612"/>
      <c r="J12" s="610"/>
    </row>
    <row r="13" spans="1:10" ht="14.25" x14ac:dyDescent="0.2">
      <c r="A13" s="610"/>
      <c r="B13" s="595"/>
      <c r="C13" s="648" t="s">
        <v>914</v>
      </c>
      <c r="D13" s="655">
        <f>'Vivienda Objeto'!H17</f>
        <v>260.96750000000003</v>
      </c>
      <c r="E13" s="656"/>
      <c r="F13" s="655">
        <f>Referencia!G4</f>
        <v>260.96750000000003</v>
      </c>
      <c r="G13" s="635"/>
      <c r="H13" s="644" t="s">
        <v>1126</v>
      </c>
      <c r="I13" s="612"/>
      <c r="J13" s="610"/>
    </row>
    <row r="14" spans="1:10" ht="14.25" x14ac:dyDescent="0.2">
      <c r="A14" s="610"/>
      <c r="B14" s="595"/>
      <c r="C14" s="648" t="s">
        <v>156</v>
      </c>
      <c r="D14" s="662">
        <f>'Vivienda Objeto'!F39</f>
        <v>152.25</v>
      </c>
      <c r="E14" s="657"/>
      <c r="F14" s="662">
        <f>'Vivienda Objeto'!F39</f>
        <v>152.25</v>
      </c>
      <c r="G14" s="635"/>
      <c r="H14" s="647" t="s">
        <v>1125</v>
      </c>
      <c r="I14" s="612"/>
      <c r="J14" s="610"/>
    </row>
    <row r="15" spans="1:10" ht="14.25" x14ac:dyDescent="0.2">
      <c r="A15" s="610"/>
      <c r="B15" s="595"/>
      <c r="C15" s="648" t="s">
        <v>930</v>
      </c>
      <c r="D15" s="662">
        <f>'Vivienda Objeto'!F70</f>
        <v>23.57</v>
      </c>
      <c r="E15" s="657"/>
      <c r="F15" s="662">
        <f>Referencia!C10</f>
        <v>23.57</v>
      </c>
      <c r="G15" s="635"/>
      <c r="H15" s="647" t="s">
        <v>1125</v>
      </c>
      <c r="I15" s="612"/>
      <c r="J15" s="610"/>
    </row>
    <row r="16" spans="1:10" x14ac:dyDescent="0.2">
      <c r="A16" s="610"/>
      <c r="B16" s="595"/>
      <c r="C16" s="648"/>
      <c r="D16" s="657"/>
      <c r="E16" s="657"/>
      <c r="F16" s="657"/>
      <c r="G16" s="635"/>
      <c r="H16" s="647"/>
      <c r="I16" s="612"/>
      <c r="J16" s="610"/>
    </row>
    <row r="17" spans="1:10" x14ac:dyDescent="0.2">
      <c r="A17" s="610"/>
      <c r="B17" s="677"/>
      <c r="C17" s="46" t="s">
        <v>908</v>
      </c>
      <c r="D17" s="678"/>
      <c r="E17" s="678"/>
      <c r="F17" s="678"/>
      <c r="G17" s="679"/>
      <c r="H17" s="680"/>
      <c r="I17" s="665"/>
      <c r="J17" s="610"/>
    </row>
    <row r="18" spans="1:10" x14ac:dyDescent="0.2">
      <c r="A18" s="610"/>
      <c r="B18" s="595"/>
      <c r="C18" s="648"/>
      <c r="D18" s="657"/>
      <c r="E18" s="657"/>
      <c r="F18" s="657"/>
      <c r="G18" s="635"/>
      <c r="H18" s="647"/>
      <c r="I18" s="612"/>
      <c r="J18" s="610"/>
    </row>
    <row r="19" spans="1:10" x14ac:dyDescent="0.2">
      <c r="A19" s="610"/>
      <c r="B19" s="595"/>
      <c r="C19" s="22"/>
      <c r="D19" s="654" t="s">
        <v>905</v>
      </c>
      <c r="E19" s="657"/>
      <c r="F19" s="654" t="s">
        <v>604</v>
      </c>
      <c r="G19" s="635"/>
      <c r="H19" s="647"/>
      <c r="I19" s="612"/>
      <c r="J19" s="610"/>
    </row>
    <row r="20" spans="1:10" x14ac:dyDescent="0.2">
      <c r="A20" s="610"/>
      <c r="B20" s="595"/>
      <c r="C20" s="648" t="s">
        <v>456</v>
      </c>
      <c r="D20" s="662">
        <f>IF(I20=1,0,'Vivienda Objeto'!N29)</f>
        <v>29.361933794752229</v>
      </c>
      <c r="E20" s="657"/>
      <c r="F20" s="662">
        <f>IF(I20=1,0,Referencia!M11)</f>
        <v>23.832869358067519</v>
      </c>
      <c r="G20" s="635"/>
      <c r="H20" s="647" t="s">
        <v>797</v>
      </c>
      <c r="I20" s="612">
        <f>Referencia!G55</f>
        <v>0</v>
      </c>
      <c r="J20" s="610"/>
    </row>
    <row r="21" spans="1:10" x14ac:dyDescent="0.2">
      <c r="A21" s="610"/>
      <c r="B21" s="595"/>
      <c r="C21" s="648" t="s">
        <v>909</v>
      </c>
      <c r="D21" s="662">
        <f>IF(I20=1,0,'Vivienda Objeto'!N30)</f>
        <v>34.884699060636557</v>
      </c>
      <c r="E21" s="657"/>
      <c r="F21" s="662">
        <f>IF(I20=1,0,Referencia!M12)</f>
        <v>45.746640608564</v>
      </c>
      <c r="G21" s="635"/>
      <c r="H21" s="647" t="s">
        <v>797</v>
      </c>
      <c r="I21" s="612"/>
      <c r="J21" s="610"/>
    </row>
    <row r="22" spans="1:10" x14ac:dyDescent="0.2">
      <c r="A22" s="610"/>
      <c r="B22" s="595"/>
      <c r="C22" s="648" t="s">
        <v>745</v>
      </c>
      <c r="D22" s="662">
        <f>IF(I20=1,0,'Vivienda Objeto'!N31)</f>
        <v>10.069820666489864</v>
      </c>
      <c r="E22" s="657"/>
      <c r="F22" s="662">
        <f>IF(I20=1,0,'Vivienda Objeto'!N31)</f>
        <v>10.069820666489864</v>
      </c>
      <c r="G22" s="635"/>
      <c r="H22" s="647" t="s">
        <v>797</v>
      </c>
      <c r="I22" s="612"/>
      <c r="J22" s="610"/>
    </row>
    <row r="23" spans="1:10" x14ac:dyDescent="0.2">
      <c r="A23" s="610"/>
      <c r="B23" s="595"/>
      <c r="C23" s="648" t="s">
        <v>287</v>
      </c>
      <c r="D23" s="662">
        <f>IF(I20=1,0,'Vivienda Objeto'!N32)</f>
        <v>7.1867105601509573</v>
      </c>
      <c r="E23" s="657"/>
      <c r="F23" s="662">
        <f>IF(I20=1,0,Referencia!M14)</f>
        <v>5.8708746658347319</v>
      </c>
      <c r="G23" s="635"/>
      <c r="H23" s="647" t="s">
        <v>797</v>
      </c>
      <c r="I23" s="612"/>
      <c r="J23" s="610"/>
    </row>
    <row r="24" spans="1:10" x14ac:dyDescent="0.2">
      <c r="A24" s="610"/>
      <c r="B24" s="595"/>
      <c r="C24" s="648" t="s">
        <v>910</v>
      </c>
      <c r="D24" s="662">
        <f>IF(I20=1,0,'Vivienda Objeto'!N33)</f>
        <v>18.496835917970397</v>
      </c>
      <c r="E24" s="657"/>
      <c r="F24" s="662">
        <f>IF(I20=1,0,Referencia!M15)</f>
        <v>15.013747972192082</v>
      </c>
      <c r="G24" s="635"/>
      <c r="H24" s="647" t="s">
        <v>797</v>
      </c>
      <c r="I24" s="612"/>
      <c r="J24" s="610"/>
    </row>
    <row r="25" spans="1:10" x14ac:dyDescent="0.2">
      <c r="A25" s="610"/>
      <c r="B25" s="595"/>
      <c r="C25" s="648"/>
      <c r="D25" s="657"/>
      <c r="E25" s="657"/>
      <c r="F25" s="657"/>
      <c r="G25" s="635"/>
      <c r="H25" s="647"/>
      <c r="I25" s="612"/>
      <c r="J25" s="610"/>
    </row>
    <row r="26" spans="1:10" x14ac:dyDescent="0.2">
      <c r="A26" s="610"/>
      <c r="B26" s="677"/>
      <c r="C26" s="46" t="s">
        <v>514</v>
      </c>
      <c r="D26" s="678"/>
      <c r="E26" s="678"/>
      <c r="F26" s="678"/>
      <c r="G26" s="679"/>
      <c r="H26" s="680"/>
      <c r="I26" s="665"/>
      <c r="J26" s="610"/>
    </row>
    <row r="27" spans="1:10" x14ac:dyDescent="0.2">
      <c r="A27" s="610"/>
      <c r="B27" s="595"/>
      <c r="C27" s="648"/>
      <c r="D27" s="657"/>
      <c r="E27" s="657"/>
      <c r="F27" s="657"/>
      <c r="G27" s="635"/>
      <c r="H27" s="647"/>
      <c r="I27" s="612"/>
      <c r="J27" s="610"/>
    </row>
    <row r="28" spans="1:10" x14ac:dyDescent="0.2">
      <c r="A28" s="610"/>
      <c r="B28" s="595"/>
      <c r="C28" s="648" t="s">
        <v>912</v>
      </c>
      <c r="D28" s="661">
        <f>IF(I20=1,0,'Vivienda Objeto'!H47)</f>
        <v>379.46994999999998</v>
      </c>
      <c r="E28" s="657"/>
      <c r="F28" s="662">
        <f>IF(I20=1,0,Referencia!G23)</f>
        <v>487.48349999999994</v>
      </c>
      <c r="G28" s="635"/>
      <c r="H28" s="650" t="s">
        <v>283</v>
      </c>
      <c r="I28" s="612"/>
      <c r="J28" s="610"/>
    </row>
    <row r="29" spans="1:10" x14ac:dyDescent="0.2">
      <c r="A29" s="610"/>
      <c r="B29" s="595"/>
      <c r="C29" s="19" t="s">
        <v>450</v>
      </c>
      <c r="D29" s="662">
        <f>IF(I20=1,0,'Vivienda Objeto'!H49)</f>
        <v>465.589225</v>
      </c>
      <c r="E29" s="657"/>
      <c r="F29" s="662">
        <f>IF(I20=1,0,Referencia!G25)</f>
        <v>573.60277499999995</v>
      </c>
      <c r="G29" s="635"/>
      <c r="H29" s="650" t="s">
        <v>283</v>
      </c>
      <c r="I29" s="612"/>
      <c r="J29" s="610"/>
    </row>
    <row r="30" spans="1:10" x14ac:dyDescent="0.2">
      <c r="A30" s="610"/>
      <c r="B30" s="595"/>
      <c r="C30" s="19"/>
      <c r="D30" s="657"/>
      <c r="E30" s="657"/>
      <c r="F30" s="657"/>
      <c r="G30" s="635"/>
      <c r="H30" s="650"/>
      <c r="I30" s="612"/>
      <c r="J30" s="610"/>
    </row>
    <row r="31" spans="1:10" x14ac:dyDescent="0.2">
      <c r="A31" s="610"/>
      <c r="B31" s="595"/>
      <c r="C31" s="3" t="s">
        <v>931</v>
      </c>
      <c r="D31" s="657"/>
      <c r="E31" s="657"/>
      <c r="F31" s="657"/>
      <c r="G31" s="635"/>
      <c r="H31" s="650"/>
      <c r="I31" s="612"/>
      <c r="J31" s="610"/>
    </row>
    <row r="32" spans="1:10" x14ac:dyDescent="0.2">
      <c r="B32" s="691"/>
      <c r="C32" s="648" t="s">
        <v>296</v>
      </c>
      <c r="D32" s="663">
        <f>'Vivienda Objeto'!H55</f>
        <v>198</v>
      </c>
      <c r="E32" s="659"/>
      <c r="F32" s="663">
        <f>D32</f>
        <v>198</v>
      </c>
      <c r="G32" s="22"/>
      <c r="H32" s="650" t="s">
        <v>285</v>
      </c>
      <c r="I32" s="495"/>
    </row>
    <row r="33" spans="2:9" x14ac:dyDescent="0.2">
      <c r="B33" s="691"/>
      <c r="C33" s="648" t="s">
        <v>502</v>
      </c>
      <c r="D33" s="663">
        <f>'Vivienda Objeto'!H56</f>
        <v>188.785</v>
      </c>
      <c r="E33" s="659"/>
      <c r="F33" s="663">
        <f>D33</f>
        <v>188.785</v>
      </c>
      <c r="G33" s="22"/>
      <c r="H33" s="650" t="s">
        <v>285</v>
      </c>
      <c r="I33" s="495"/>
    </row>
    <row r="34" spans="2:9" x14ac:dyDescent="0.2">
      <c r="B34" s="691"/>
      <c r="C34" s="648" t="s">
        <v>451</v>
      </c>
      <c r="D34" s="663">
        <f>'Vivienda Objeto'!H57</f>
        <v>188.785</v>
      </c>
      <c r="E34" s="659"/>
      <c r="F34" s="663">
        <f>'Vivienda Objeto'!H57</f>
        <v>188.785</v>
      </c>
      <c r="G34" s="22"/>
      <c r="H34" s="650" t="s">
        <v>285</v>
      </c>
      <c r="I34" s="495"/>
    </row>
    <row r="35" spans="2:9" x14ac:dyDescent="0.2">
      <c r="B35" s="691"/>
      <c r="C35" s="648" t="s">
        <v>727</v>
      </c>
      <c r="D35" s="663">
        <f>'Vivienda Objeto'!H59</f>
        <v>386.78499999999997</v>
      </c>
      <c r="E35" s="659"/>
      <c r="F35" s="663">
        <f>Referencia!G27</f>
        <v>386.78499999999997</v>
      </c>
      <c r="G35" s="22"/>
      <c r="H35" s="650" t="s">
        <v>285</v>
      </c>
      <c r="I35" s="495"/>
    </row>
    <row r="36" spans="2:9" x14ac:dyDescent="0.2">
      <c r="B36" s="691"/>
      <c r="C36" s="648" t="s">
        <v>915</v>
      </c>
      <c r="D36" s="663">
        <f>'Vivienda Objeto'!N72</f>
        <v>677.31234441983952</v>
      </c>
      <c r="E36" s="659"/>
      <c r="F36" s="663">
        <f>Referencia!M33</f>
        <v>666.13766767876177</v>
      </c>
      <c r="G36" s="22"/>
      <c r="H36" s="650" t="s">
        <v>285</v>
      </c>
      <c r="I36" s="495"/>
    </row>
    <row r="37" spans="2:9" x14ac:dyDescent="0.2">
      <c r="B37" s="691"/>
      <c r="C37" s="648"/>
      <c r="D37" s="681"/>
      <c r="E37" s="682"/>
      <c r="F37" s="681"/>
      <c r="G37" s="22"/>
      <c r="H37" s="650"/>
      <c r="I37" s="495"/>
    </row>
    <row r="38" spans="2:9" x14ac:dyDescent="0.2">
      <c r="B38" s="691"/>
      <c r="C38" s="648" t="s">
        <v>916</v>
      </c>
      <c r="D38" s="663">
        <f>'Vivienda Objeto'!H73</f>
        <v>1064.0973444198394</v>
      </c>
      <c r="E38" s="659"/>
      <c r="F38" s="663">
        <f>Referencia!G34</f>
        <v>1052.9226676787616</v>
      </c>
      <c r="G38" s="22"/>
      <c r="H38" s="650" t="s">
        <v>285</v>
      </c>
      <c r="I38" s="495"/>
    </row>
    <row r="39" spans="2:9" x14ac:dyDescent="0.2">
      <c r="B39" s="691"/>
      <c r="C39" s="648"/>
      <c r="D39" s="683"/>
      <c r="E39" s="682"/>
      <c r="F39" s="683"/>
      <c r="G39" s="5"/>
      <c r="H39" s="649"/>
      <c r="I39" s="495"/>
    </row>
    <row r="40" spans="2:9" x14ac:dyDescent="0.2">
      <c r="B40" s="691"/>
      <c r="C40" s="3" t="s">
        <v>932</v>
      </c>
      <c r="D40" s="682"/>
      <c r="E40" s="682"/>
      <c r="F40" s="682"/>
      <c r="G40" s="5"/>
      <c r="H40" s="649"/>
      <c r="I40" s="495"/>
    </row>
    <row r="41" spans="2:9" x14ac:dyDescent="0.2">
      <c r="B41" s="691"/>
      <c r="C41" s="648"/>
      <c r="D41" s="684"/>
      <c r="E41" s="682"/>
      <c r="F41" s="684"/>
      <c r="G41" s="5"/>
      <c r="H41" s="649"/>
      <c r="I41" s="495"/>
    </row>
    <row r="42" spans="2:9" x14ac:dyDescent="0.2">
      <c r="B42" s="691"/>
      <c r="C42" s="648" t="s">
        <v>917</v>
      </c>
      <c r="D42" s="663">
        <f>'Vivienda Objeto'!H76</f>
        <v>2.2854853318820672</v>
      </c>
      <c r="E42" s="659"/>
      <c r="F42" s="663">
        <f>Referencia!G37</f>
        <v>1.835630358794484</v>
      </c>
      <c r="G42" s="22"/>
      <c r="H42" s="650" t="s">
        <v>292</v>
      </c>
      <c r="I42" s="495"/>
    </row>
    <row r="43" spans="2:9" x14ac:dyDescent="0.2">
      <c r="B43" s="691"/>
      <c r="C43" s="648" t="s">
        <v>918</v>
      </c>
      <c r="D43" s="663">
        <f>'Vivienda Objeto'!H77</f>
        <v>19</v>
      </c>
      <c r="E43" s="659"/>
      <c r="F43" s="663">
        <f>Referencia!G38</f>
        <v>19</v>
      </c>
      <c r="G43" s="22"/>
      <c r="H43" s="650" t="s">
        <v>292</v>
      </c>
      <c r="I43" s="495"/>
    </row>
    <row r="44" spans="2:9" x14ac:dyDescent="0.2">
      <c r="B44" s="691"/>
      <c r="C44" s="648" t="s">
        <v>289</v>
      </c>
      <c r="D44" s="663">
        <f>'Vivienda Objeto'!H78</f>
        <v>16.714514668117932</v>
      </c>
      <c r="E44" s="659"/>
      <c r="F44" s="663">
        <f>Referencia!G39</f>
        <v>17.164369641205518</v>
      </c>
      <c r="G44" s="22"/>
      <c r="H44" s="650" t="s">
        <v>292</v>
      </c>
      <c r="I44" s="495"/>
    </row>
    <row r="45" spans="2:9" x14ac:dyDescent="0.2">
      <c r="B45" s="691"/>
      <c r="C45" s="648" t="s">
        <v>933</v>
      </c>
      <c r="D45" s="663">
        <f>'Vivienda Objeto'!H81</f>
        <v>1162.9745282943941</v>
      </c>
      <c r="E45" s="659"/>
      <c r="F45" s="663">
        <f>Referencia!G42</f>
        <v>1242.7202525981431</v>
      </c>
      <c r="G45" s="22"/>
      <c r="H45" s="650" t="s">
        <v>292</v>
      </c>
      <c r="I45" s="495"/>
    </row>
    <row r="46" spans="2:9" x14ac:dyDescent="0.2">
      <c r="B46" s="691"/>
      <c r="C46" s="648"/>
      <c r="D46" s="683"/>
      <c r="E46" s="682"/>
      <c r="F46" s="683"/>
      <c r="G46" s="5"/>
      <c r="H46" s="649"/>
      <c r="I46" s="495"/>
    </row>
    <row r="47" spans="2:9" x14ac:dyDescent="0.2">
      <c r="B47" s="692"/>
      <c r="C47" s="46" t="s">
        <v>919</v>
      </c>
      <c r="D47" s="685"/>
      <c r="E47" s="685"/>
      <c r="F47" s="685"/>
      <c r="G47" s="341"/>
      <c r="H47" s="686"/>
      <c r="I47" s="483"/>
    </row>
    <row r="48" spans="2:9" x14ac:dyDescent="0.2">
      <c r="B48" s="691"/>
      <c r="C48" s="648"/>
      <c r="D48" s="684"/>
      <c r="E48" s="682"/>
      <c r="F48" s="684"/>
      <c r="G48" s="5"/>
      <c r="H48" s="649"/>
      <c r="I48" s="495"/>
    </row>
    <row r="49" spans="2:9" x14ac:dyDescent="0.2">
      <c r="B49" s="691"/>
      <c r="C49" s="648" t="s">
        <v>304</v>
      </c>
      <c r="D49" s="663">
        <f>IF(I20=1,0,'Vivienda Objeto'!H84)</f>
        <v>12995.241823759859</v>
      </c>
      <c r="E49" s="659"/>
      <c r="F49" s="663">
        <f>IF(I20=1,0,Referencia!G45)</f>
        <v>17107.866950535899</v>
      </c>
      <c r="G49" s="22"/>
      <c r="H49" s="650" t="s">
        <v>291</v>
      </c>
      <c r="I49" s="495"/>
    </row>
    <row r="50" spans="2:9" ht="14.25" x14ac:dyDescent="0.2">
      <c r="B50" s="691"/>
      <c r="C50" s="648"/>
      <c r="D50" s="663">
        <f>IF(I20=1,0,'Vivienda Objeto'!H85)</f>
        <v>117.02153825988168</v>
      </c>
      <c r="E50" s="659"/>
      <c r="F50" s="663">
        <f>IF(I20=1,0,Referencia!G46)</f>
        <v>154.05553309802701</v>
      </c>
      <c r="G50" s="22"/>
      <c r="H50" s="650" t="s">
        <v>865</v>
      </c>
      <c r="I50" s="495"/>
    </row>
    <row r="51" spans="2:9" x14ac:dyDescent="0.2">
      <c r="B51" s="691"/>
      <c r="C51" s="648" t="s">
        <v>934</v>
      </c>
      <c r="D51" s="659"/>
      <c r="E51" s="659"/>
      <c r="F51" s="659"/>
      <c r="G51" s="22"/>
      <c r="H51" s="650"/>
      <c r="I51" s="495"/>
    </row>
    <row r="52" spans="2:9" ht="14.25" x14ac:dyDescent="0.2">
      <c r="B52" s="691"/>
      <c r="C52" s="648" t="s">
        <v>479</v>
      </c>
      <c r="D52" s="663">
        <f>'Vivienda Objeto'!H89</f>
        <v>0</v>
      </c>
      <c r="E52" s="659"/>
      <c r="F52" s="659"/>
      <c r="G52" s="22"/>
      <c r="H52" s="650" t="s">
        <v>865</v>
      </c>
      <c r="I52" s="495"/>
    </row>
    <row r="53" spans="2:9" ht="14.25" x14ac:dyDescent="0.2">
      <c r="B53" s="691"/>
      <c r="C53" s="648" t="s">
        <v>484</v>
      </c>
      <c r="D53" s="663">
        <f>'Vivienda Objeto'!H90</f>
        <v>0</v>
      </c>
      <c r="E53" s="659"/>
      <c r="F53" s="659"/>
      <c r="G53" s="22"/>
      <c r="H53" s="650" t="s">
        <v>865</v>
      </c>
      <c r="I53" s="495"/>
    </row>
    <row r="54" spans="2:9" x14ac:dyDescent="0.2">
      <c r="B54" s="691"/>
      <c r="C54" s="648"/>
      <c r="D54" s="659"/>
      <c r="E54" s="659"/>
      <c r="F54" s="659"/>
      <c r="G54" s="22"/>
      <c r="H54" s="650"/>
      <c r="I54" s="495"/>
    </row>
    <row r="55" spans="2:9" x14ac:dyDescent="0.2">
      <c r="B55" s="691"/>
      <c r="C55" s="648" t="s">
        <v>906</v>
      </c>
      <c r="D55" s="663">
        <f>'Vivienda Objeto'!H108</f>
        <v>12995.241823759859</v>
      </c>
      <c r="E55" s="659"/>
      <c r="F55" s="663">
        <f>IF(I20=1,0,Referencia!G50)</f>
        <v>17107.866950535899</v>
      </c>
      <c r="G55" s="22"/>
      <c r="H55" s="650" t="s">
        <v>291</v>
      </c>
      <c r="I55" s="495"/>
    </row>
    <row r="56" spans="2:9" ht="14.25" x14ac:dyDescent="0.2">
      <c r="B56" s="691"/>
      <c r="C56" s="648"/>
      <c r="D56" s="663">
        <f>'Vivienda Objeto'!H109</f>
        <v>117.02153825988168</v>
      </c>
      <c r="E56" s="659"/>
      <c r="F56" s="663">
        <f>IF(I20=1,0,Referencia!G52)</f>
        <v>154.05553309802701</v>
      </c>
      <c r="G56" s="22"/>
      <c r="H56" s="650" t="s">
        <v>865</v>
      </c>
      <c r="I56" s="495"/>
    </row>
    <row r="57" spans="2:9" x14ac:dyDescent="0.2">
      <c r="B57" s="691"/>
      <c r="C57" s="648"/>
      <c r="D57" s="659"/>
      <c r="E57" s="659"/>
      <c r="F57" s="659"/>
      <c r="G57" s="22"/>
      <c r="H57" s="650"/>
      <c r="I57" s="495"/>
    </row>
    <row r="58" spans="2:9" x14ac:dyDescent="0.2">
      <c r="B58" s="692"/>
      <c r="C58" s="46" t="s">
        <v>935</v>
      </c>
      <c r="D58" s="685"/>
      <c r="E58" s="685"/>
      <c r="F58" s="685"/>
      <c r="G58" s="341"/>
      <c r="H58" s="686"/>
      <c r="I58" s="483"/>
    </row>
    <row r="59" spans="2:9" x14ac:dyDescent="0.2">
      <c r="B59" s="691"/>
      <c r="C59" s="648"/>
      <c r="D59" s="659"/>
      <c r="E59" s="659"/>
      <c r="F59" s="659"/>
      <c r="G59" s="22"/>
      <c r="H59" s="650"/>
      <c r="I59" s="495"/>
    </row>
    <row r="60" spans="2:9" x14ac:dyDescent="0.2">
      <c r="B60" s="691"/>
      <c r="C60" s="648" t="s">
        <v>280</v>
      </c>
      <c r="D60" s="663">
        <f>'Vivienda Objeto'!H115</f>
        <v>5.2424786537099459</v>
      </c>
      <c r="E60" s="659"/>
      <c r="F60" s="663">
        <f>'Vivienda Objeto'!H115</f>
        <v>5.2424786537099459</v>
      </c>
      <c r="G60" s="22"/>
      <c r="H60" s="650"/>
      <c r="I60" s="495"/>
    </row>
    <row r="61" spans="2:9" x14ac:dyDescent="0.2">
      <c r="B61" s="691"/>
      <c r="C61" s="22"/>
      <c r="D61" s="693"/>
      <c r="E61" s="693"/>
      <c r="F61" s="693"/>
      <c r="G61" s="22"/>
      <c r="H61" s="650"/>
      <c r="I61" s="495"/>
    </row>
    <row r="62" spans="2:9" x14ac:dyDescent="0.2">
      <c r="B62" s="691"/>
      <c r="C62" s="648" t="s">
        <v>468</v>
      </c>
      <c r="D62" s="663">
        <f>'Vivienda Objeto'!H117</f>
        <v>2456.6254971284807</v>
      </c>
      <c r="E62" s="659"/>
      <c r="F62" s="663">
        <f>Referencia!G59</f>
        <v>2456.6254971284807</v>
      </c>
      <c r="G62" s="22"/>
      <c r="H62" s="650" t="s">
        <v>291</v>
      </c>
      <c r="I62" s="495"/>
    </row>
    <row r="63" spans="2:9" ht="14.25" x14ac:dyDescent="0.2">
      <c r="B63" s="691"/>
      <c r="C63" s="648"/>
      <c r="D63" s="663">
        <f>'Vivienda Objeto'!H118</f>
        <v>22.121796462210543</v>
      </c>
      <c r="E63" s="659"/>
      <c r="F63" s="663">
        <f>Referencia!G60</f>
        <v>22.121796462210543</v>
      </c>
      <c r="G63" s="22"/>
      <c r="H63" s="650" t="s">
        <v>865</v>
      </c>
      <c r="I63" s="495"/>
    </row>
    <row r="64" spans="2:9" x14ac:dyDescent="0.2">
      <c r="B64" s="691"/>
      <c r="C64" s="648"/>
      <c r="D64" s="659"/>
      <c r="E64" s="659"/>
      <c r="F64" s="659"/>
      <c r="G64" s="22"/>
      <c r="H64" s="650"/>
      <c r="I64" s="495"/>
    </row>
    <row r="65" spans="2:11" x14ac:dyDescent="0.2">
      <c r="B65" s="692"/>
      <c r="C65" s="46" t="s">
        <v>936</v>
      </c>
      <c r="D65" s="685"/>
      <c r="E65" s="685"/>
      <c r="F65" s="685"/>
      <c r="G65" s="341"/>
      <c r="H65" s="686"/>
      <c r="I65" s="483"/>
    </row>
    <row r="66" spans="2:11" x14ac:dyDescent="0.2">
      <c r="B66" s="691"/>
      <c r="C66" s="648"/>
      <c r="D66" s="659"/>
      <c r="E66" s="659"/>
      <c r="F66" s="659"/>
      <c r="G66" s="22"/>
      <c r="H66" s="650"/>
      <c r="I66" s="495"/>
    </row>
    <row r="67" spans="2:11" x14ac:dyDescent="0.2">
      <c r="B67" s="691"/>
      <c r="C67" s="19" t="s">
        <v>849</v>
      </c>
      <c r="D67" s="663">
        <f>'Vivienda Objeto'!H125</f>
        <v>10298.745540765287</v>
      </c>
      <c r="E67" s="659"/>
      <c r="F67" s="663">
        <f>Referencia!G65</f>
        <v>10298.745540765287</v>
      </c>
      <c r="G67" s="22"/>
      <c r="H67" s="649" t="s">
        <v>331</v>
      </c>
      <c r="I67" s="495"/>
    </row>
    <row r="68" spans="2:11" x14ac:dyDescent="0.2">
      <c r="B68" s="691"/>
      <c r="C68" s="19" t="s">
        <v>332</v>
      </c>
      <c r="D68" s="663">
        <f>'Vivienda Objeto'!H126</f>
        <v>2938.3280823506934</v>
      </c>
      <c r="E68" s="659"/>
      <c r="F68" s="663">
        <f>Referencia!G66</f>
        <v>2938.3280823506934</v>
      </c>
      <c r="G68" s="22"/>
      <c r="H68" s="649" t="s">
        <v>341</v>
      </c>
      <c r="I68" s="495"/>
    </row>
    <row r="69" spans="2:11" x14ac:dyDescent="0.2">
      <c r="B69" s="691"/>
      <c r="C69" s="19"/>
      <c r="D69" s="659"/>
      <c r="E69" s="659"/>
      <c r="F69" s="659"/>
      <c r="G69" s="22"/>
      <c r="H69" s="650"/>
      <c r="I69" s="495"/>
    </row>
    <row r="70" spans="2:11" x14ac:dyDescent="0.2">
      <c r="B70" s="691"/>
      <c r="C70" s="648" t="s">
        <v>310</v>
      </c>
      <c r="D70" s="663">
        <f>'Vivienda Objeto'!H128</f>
        <v>628.18523869455078</v>
      </c>
      <c r="E70" s="659"/>
      <c r="F70" s="663">
        <f>Referencia!G68</f>
        <v>628.18523869455078</v>
      </c>
      <c r="G70" s="22"/>
      <c r="H70" s="650" t="s">
        <v>291</v>
      </c>
      <c r="I70" s="495"/>
    </row>
    <row r="71" spans="2:11" ht="14.25" x14ac:dyDescent="0.2">
      <c r="B71" s="691"/>
      <c r="C71" s="648"/>
      <c r="D71" s="663">
        <f>'Vivienda Objeto'!H129</f>
        <v>5.6567783763579538</v>
      </c>
      <c r="E71" s="659"/>
      <c r="F71" s="663">
        <f>Referencia!G69</f>
        <v>5.6567783763579538</v>
      </c>
      <c r="G71" s="22"/>
      <c r="H71" s="650" t="s">
        <v>865</v>
      </c>
      <c r="I71" s="495"/>
    </row>
    <row r="72" spans="2:11" x14ac:dyDescent="0.2">
      <c r="B72" s="691"/>
      <c r="C72" s="648"/>
      <c r="D72" s="659"/>
      <c r="E72" s="659"/>
      <c r="F72" s="659"/>
      <c r="G72" s="22"/>
      <c r="H72" s="650"/>
      <c r="I72" s="495"/>
    </row>
    <row r="73" spans="2:11" x14ac:dyDescent="0.2">
      <c r="B73" s="692"/>
      <c r="C73" s="46" t="s">
        <v>938</v>
      </c>
      <c r="D73" s="685"/>
      <c r="E73" s="685"/>
      <c r="F73" s="685"/>
      <c r="G73" s="341"/>
      <c r="H73" s="686"/>
      <c r="I73" s="483"/>
    </row>
    <row r="74" spans="2:11" x14ac:dyDescent="0.2">
      <c r="B74" s="691"/>
      <c r="C74" s="648"/>
      <c r="D74" s="659"/>
      <c r="E74" s="659"/>
      <c r="F74" s="659"/>
      <c r="G74" s="22"/>
      <c r="H74" s="650"/>
      <c r="I74" s="495"/>
      <c r="J74" s="22"/>
      <c r="K74" s="22"/>
    </row>
    <row r="75" spans="2:11" x14ac:dyDescent="0.2">
      <c r="B75" s="691"/>
      <c r="C75" s="24" t="s">
        <v>939</v>
      </c>
      <c r="D75" s="659"/>
      <c r="E75" s="659"/>
      <c r="F75" s="659"/>
      <c r="G75" s="22"/>
      <c r="H75" s="650"/>
      <c r="I75" s="495"/>
      <c r="J75" s="22"/>
      <c r="K75" s="22"/>
    </row>
    <row r="76" spans="2:11" ht="14.25" x14ac:dyDescent="0.2">
      <c r="B76" s="691"/>
      <c r="C76" s="648" t="s">
        <v>724</v>
      </c>
      <c r="D76" s="663">
        <f>'Vivienda Objeto'!H165</f>
        <v>2</v>
      </c>
      <c r="E76" s="659"/>
      <c r="F76" s="659"/>
      <c r="G76" s="22"/>
      <c r="H76" s="647" t="s">
        <v>1125</v>
      </c>
      <c r="I76" s="495"/>
      <c r="J76" s="22"/>
      <c r="K76" s="22"/>
    </row>
    <row r="77" spans="2:11" x14ac:dyDescent="0.2">
      <c r="B77" s="691"/>
      <c r="C77" s="19" t="s">
        <v>923</v>
      </c>
      <c r="D77" s="663">
        <f>'Vivienda Objeto'!N203</f>
        <v>0</v>
      </c>
      <c r="E77" s="659"/>
      <c r="F77" s="659"/>
      <c r="G77" s="22"/>
      <c r="H77" s="650" t="s">
        <v>291</v>
      </c>
      <c r="I77" s="495"/>
      <c r="J77" s="22"/>
      <c r="K77" s="22"/>
    </row>
    <row r="78" spans="2:11" x14ac:dyDescent="0.2">
      <c r="B78" s="691"/>
      <c r="C78" s="648" t="s">
        <v>593</v>
      </c>
      <c r="D78" s="663">
        <f>'Vivienda Objeto'!N175</f>
        <v>0</v>
      </c>
      <c r="E78" s="659"/>
      <c r="F78" s="659"/>
      <c r="G78" s="22"/>
      <c r="H78" s="650" t="s">
        <v>797</v>
      </c>
      <c r="I78" s="495"/>
      <c r="J78" s="22"/>
      <c r="K78" s="22"/>
    </row>
    <row r="79" spans="2:11" x14ac:dyDescent="0.2">
      <c r="B79" s="691"/>
      <c r="C79" s="19" t="s">
        <v>922</v>
      </c>
      <c r="D79" s="663">
        <f>'Vivienda Objeto'!N178</f>
        <v>0</v>
      </c>
      <c r="E79" s="659"/>
      <c r="F79" s="659"/>
      <c r="G79" s="22"/>
      <c r="H79" s="650" t="s">
        <v>291</v>
      </c>
      <c r="I79" s="495"/>
      <c r="J79" s="22"/>
      <c r="K79" s="22"/>
    </row>
    <row r="80" spans="2:11" x14ac:dyDescent="0.2">
      <c r="B80" s="691"/>
      <c r="C80" s="648" t="s">
        <v>594</v>
      </c>
      <c r="D80" s="663">
        <f>'Vivienda Objeto'!N176</f>
        <v>0</v>
      </c>
      <c r="E80" s="659"/>
      <c r="F80" s="659"/>
      <c r="G80" s="22"/>
      <c r="H80" s="650" t="s">
        <v>797</v>
      </c>
      <c r="I80" s="495"/>
      <c r="J80" s="22"/>
      <c r="K80" s="22"/>
    </row>
    <row r="81" spans="2:11" x14ac:dyDescent="0.2">
      <c r="B81" s="691"/>
      <c r="C81" s="648"/>
      <c r="D81" s="659"/>
      <c r="E81" s="659"/>
      <c r="F81" s="659"/>
      <c r="G81" s="22"/>
      <c r="H81" s="650"/>
      <c r="I81" s="495"/>
      <c r="J81" s="22"/>
      <c r="K81" s="22"/>
    </row>
    <row r="82" spans="2:11" x14ac:dyDescent="0.2">
      <c r="B82" s="691"/>
      <c r="C82" s="3" t="s">
        <v>920</v>
      </c>
      <c r="D82" s="659"/>
      <c r="E82" s="659"/>
      <c r="F82" s="659"/>
      <c r="G82" s="22"/>
      <c r="H82" s="650"/>
      <c r="I82" s="495"/>
      <c r="J82" s="22"/>
      <c r="K82" s="22"/>
    </row>
    <row r="83" spans="2:11" ht="14.25" x14ac:dyDescent="0.2">
      <c r="B83" s="691"/>
      <c r="C83" s="19" t="s">
        <v>940</v>
      </c>
      <c r="D83" s="663">
        <f>'Vivienda Objeto'!H212</f>
        <v>3</v>
      </c>
      <c r="E83" s="659"/>
      <c r="F83" s="659"/>
      <c r="G83" s="22"/>
      <c r="H83" s="647" t="s">
        <v>1125</v>
      </c>
      <c r="I83" s="495"/>
      <c r="J83" s="22"/>
      <c r="K83" s="22"/>
    </row>
    <row r="84" spans="2:11" x14ac:dyDescent="0.2">
      <c r="B84" s="691"/>
      <c r="C84" s="19" t="s">
        <v>924</v>
      </c>
      <c r="D84" s="663">
        <f>'Vivienda Objeto'!N221</f>
        <v>0</v>
      </c>
      <c r="E84" s="659"/>
      <c r="F84" s="659"/>
      <c r="G84" s="22"/>
      <c r="H84" s="650" t="s">
        <v>291</v>
      </c>
      <c r="I84" s="495"/>
      <c r="J84" s="22"/>
      <c r="K84" s="22"/>
    </row>
    <row r="85" spans="2:11" x14ac:dyDescent="0.2">
      <c r="B85" s="691"/>
      <c r="C85" s="19" t="s">
        <v>921</v>
      </c>
      <c r="D85" s="663">
        <f>'Vivienda Objeto'!N219</f>
        <v>0</v>
      </c>
      <c r="E85" s="659"/>
      <c r="F85" s="659"/>
      <c r="G85" s="22"/>
      <c r="H85" s="650" t="s">
        <v>797</v>
      </c>
      <c r="I85" s="495"/>
      <c r="J85" s="22"/>
      <c r="K85" s="22"/>
    </row>
    <row r="86" spans="2:11" x14ac:dyDescent="0.2">
      <c r="B86" s="691"/>
      <c r="C86" s="648"/>
      <c r="D86" s="659"/>
      <c r="E86" s="659"/>
      <c r="F86" s="659"/>
      <c r="G86" s="22"/>
      <c r="H86" s="650"/>
      <c r="I86" s="495"/>
      <c r="J86" s="22"/>
      <c r="K86" s="22"/>
    </row>
    <row r="87" spans="2:11" x14ac:dyDescent="0.2">
      <c r="B87" s="692"/>
      <c r="C87" s="46" t="s">
        <v>941</v>
      </c>
      <c r="D87" s="685"/>
      <c r="E87" s="685"/>
      <c r="F87" s="685"/>
      <c r="G87" s="341"/>
      <c r="H87" s="686"/>
      <c r="I87" s="483"/>
      <c r="J87" s="22"/>
      <c r="K87" s="22"/>
    </row>
    <row r="88" spans="2:11" x14ac:dyDescent="0.2">
      <c r="B88" s="691"/>
      <c r="C88" s="648"/>
      <c r="D88" s="659"/>
      <c r="E88" s="659"/>
      <c r="F88" s="659"/>
      <c r="G88" s="22"/>
      <c r="H88" s="650"/>
      <c r="I88" s="495"/>
      <c r="J88" s="22"/>
      <c r="K88" s="22"/>
    </row>
    <row r="89" spans="2:11" x14ac:dyDescent="0.2">
      <c r="B89" s="691"/>
      <c r="C89" s="3" t="s">
        <v>655</v>
      </c>
      <c r="D89" s="659"/>
      <c r="E89" s="659"/>
      <c r="F89" s="659"/>
      <c r="G89" s="22"/>
      <c r="H89" s="650"/>
      <c r="I89" s="495"/>
      <c r="J89" s="22"/>
      <c r="K89" s="22"/>
    </row>
    <row r="90" spans="2:11" x14ac:dyDescent="0.2">
      <c r="B90" s="691"/>
      <c r="C90" s="19" t="s">
        <v>942</v>
      </c>
      <c r="D90" s="661">
        <f>D55</f>
        <v>12995.241823759859</v>
      </c>
      <c r="E90" s="693"/>
      <c r="F90" s="661">
        <f>F55</f>
        <v>17107.866950535899</v>
      </c>
      <c r="G90" s="22"/>
      <c r="H90" s="650" t="s">
        <v>291</v>
      </c>
      <c r="I90" s="495"/>
      <c r="J90" s="22"/>
      <c r="K90" s="22"/>
    </row>
    <row r="91" spans="2:11" x14ac:dyDescent="0.2">
      <c r="B91" s="691"/>
      <c r="C91" s="19" t="s">
        <v>925</v>
      </c>
      <c r="D91" s="661">
        <f>D79</f>
        <v>0</v>
      </c>
      <c r="E91" s="693"/>
      <c r="F91" s="661">
        <v>0</v>
      </c>
      <c r="G91" s="22"/>
      <c r="H91" s="650" t="s">
        <v>291</v>
      </c>
      <c r="I91" s="495"/>
      <c r="J91" s="22"/>
      <c r="K91" s="22"/>
    </row>
    <row r="92" spans="2:11" x14ac:dyDescent="0.2">
      <c r="B92" s="691"/>
      <c r="C92" s="19" t="s">
        <v>943</v>
      </c>
      <c r="D92" s="661">
        <f>D49-D79</f>
        <v>12995.241823759859</v>
      </c>
      <c r="E92" s="693"/>
      <c r="F92" s="661">
        <f>F55</f>
        <v>17107.866950535899</v>
      </c>
      <c r="G92" s="22"/>
      <c r="H92" s="650" t="s">
        <v>291</v>
      </c>
      <c r="I92" s="495"/>
      <c r="J92" s="22"/>
      <c r="K92" s="22"/>
    </row>
    <row r="93" spans="2:11" x14ac:dyDescent="0.2">
      <c r="B93" s="691"/>
      <c r="C93" s="648" t="s">
        <v>944</v>
      </c>
      <c r="D93" s="687">
        <f>IF(I20=1,0,'Vivienda Objeto'!N157)</f>
        <v>0.65</v>
      </c>
      <c r="E93" s="659"/>
      <c r="F93" s="687">
        <f>Referencia!M82</f>
        <v>0.65</v>
      </c>
      <c r="G93" s="22"/>
      <c r="H93" s="650"/>
      <c r="I93" s="495"/>
      <c r="J93" s="22"/>
      <c r="K93" s="22"/>
    </row>
    <row r="94" spans="2:11" x14ac:dyDescent="0.2">
      <c r="B94" s="691"/>
      <c r="C94" s="19" t="s">
        <v>370</v>
      </c>
      <c r="D94" s="663">
        <f>'Vivienda Objeto'!N226</f>
        <v>19992.679728861323</v>
      </c>
      <c r="E94" s="659"/>
      <c r="F94" s="663">
        <f>IF(I20=1,0,Referencia!M89)</f>
        <v>26319.795308516765</v>
      </c>
      <c r="G94" s="22"/>
      <c r="H94" s="650" t="s">
        <v>291</v>
      </c>
      <c r="I94" s="495"/>
      <c r="J94" s="22"/>
      <c r="K94" s="22"/>
    </row>
    <row r="95" spans="2:11" x14ac:dyDescent="0.2">
      <c r="B95" s="691"/>
      <c r="C95" s="648"/>
      <c r="D95" s="659"/>
      <c r="E95" s="659"/>
      <c r="F95" s="659"/>
      <c r="G95" s="22"/>
      <c r="H95" s="650"/>
      <c r="I95" s="495"/>
      <c r="J95" s="22"/>
      <c r="K95" s="22"/>
    </row>
    <row r="96" spans="2:11" x14ac:dyDescent="0.2">
      <c r="B96" s="691"/>
      <c r="C96" s="3" t="s">
        <v>871</v>
      </c>
      <c r="D96" s="693"/>
      <c r="E96" s="693"/>
      <c r="F96" s="693"/>
      <c r="G96" s="22"/>
      <c r="H96" s="650"/>
      <c r="I96" s="495"/>
      <c r="J96" s="22"/>
      <c r="K96" s="22"/>
    </row>
    <row r="97" spans="2:11" x14ac:dyDescent="0.2">
      <c r="B97" s="691"/>
      <c r="C97" s="19" t="s">
        <v>945</v>
      </c>
      <c r="D97" s="661">
        <f>D62</f>
        <v>2456.6254971284807</v>
      </c>
      <c r="E97" s="693"/>
      <c r="F97" s="661">
        <f>F62</f>
        <v>2456.6254971284807</v>
      </c>
      <c r="G97" s="22"/>
      <c r="H97" s="650" t="s">
        <v>291</v>
      </c>
      <c r="I97" s="495"/>
      <c r="J97" s="22"/>
      <c r="K97" s="22"/>
    </row>
    <row r="98" spans="2:11" x14ac:dyDescent="0.2">
      <c r="B98" s="691"/>
      <c r="C98" s="19" t="s">
        <v>926</v>
      </c>
      <c r="D98" s="663">
        <f>D77</f>
        <v>0</v>
      </c>
      <c r="E98" s="659"/>
      <c r="F98" s="663">
        <v>0</v>
      </c>
      <c r="G98" s="22"/>
      <c r="H98" s="650" t="s">
        <v>291</v>
      </c>
      <c r="I98" s="495"/>
      <c r="J98" s="22"/>
      <c r="K98" s="22"/>
    </row>
    <row r="99" spans="2:11" x14ac:dyDescent="0.2">
      <c r="B99" s="691"/>
      <c r="C99" s="19" t="s">
        <v>946</v>
      </c>
      <c r="D99" s="661">
        <f>D97-D98</f>
        <v>2456.6254971284807</v>
      </c>
      <c r="E99" s="693"/>
      <c r="F99" s="661">
        <f>F97</f>
        <v>2456.6254971284807</v>
      </c>
      <c r="G99" s="22"/>
      <c r="H99" s="650" t="s">
        <v>291</v>
      </c>
      <c r="I99" s="495"/>
      <c r="J99" s="22"/>
      <c r="K99" s="22"/>
    </row>
    <row r="100" spans="2:11" x14ac:dyDescent="0.2">
      <c r="B100" s="691"/>
      <c r="C100" s="648" t="s">
        <v>907</v>
      </c>
      <c r="D100" s="663">
        <f>'Vivienda Objeto'!N196</f>
        <v>0.63</v>
      </c>
      <c r="E100" s="693"/>
      <c r="F100" s="661">
        <f>Referencia!M85</f>
        <v>0.7</v>
      </c>
      <c r="G100" s="22"/>
      <c r="H100" s="650"/>
      <c r="I100" s="495"/>
      <c r="J100" s="22"/>
      <c r="K100" s="22"/>
    </row>
    <row r="101" spans="2:11" x14ac:dyDescent="0.2">
      <c r="B101" s="691"/>
      <c r="C101" s="19" t="s">
        <v>947</v>
      </c>
      <c r="D101" s="661">
        <f>'Vivienda Objeto'!N227</f>
        <v>3899.4055509975883</v>
      </c>
      <c r="E101" s="693"/>
      <c r="F101" s="661">
        <f>Referencia!M90</f>
        <v>3509.4649958978298</v>
      </c>
      <c r="G101" s="22"/>
      <c r="H101" s="650" t="s">
        <v>291</v>
      </c>
      <c r="I101" s="495"/>
      <c r="J101" s="22"/>
      <c r="K101" s="22"/>
    </row>
    <row r="102" spans="2:11" x14ac:dyDescent="0.2">
      <c r="B102" s="691"/>
      <c r="C102" s="648"/>
      <c r="D102" s="659"/>
      <c r="E102" s="659"/>
      <c r="F102" s="659"/>
      <c r="G102" s="22"/>
      <c r="H102" s="650"/>
      <c r="I102" s="495"/>
      <c r="J102" s="22"/>
      <c r="K102" s="22"/>
    </row>
    <row r="103" spans="2:11" x14ac:dyDescent="0.2">
      <c r="B103" s="691"/>
      <c r="C103" s="19" t="s">
        <v>658</v>
      </c>
      <c r="D103" s="659"/>
      <c r="E103" s="659"/>
      <c r="F103" s="659"/>
      <c r="G103" s="22"/>
      <c r="H103" s="650"/>
      <c r="I103" s="495"/>
      <c r="J103" s="22"/>
      <c r="K103" s="22"/>
    </row>
    <row r="104" spans="2:11" x14ac:dyDescent="0.2">
      <c r="B104" s="691"/>
      <c r="C104" s="19" t="s">
        <v>936</v>
      </c>
      <c r="D104" s="661">
        <f>D70</f>
        <v>628.18523869455078</v>
      </c>
      <c r="E104" s="659"/>
      <c r="F104" s="663">
        <f>F70</f>
        <v>628.18523869455078</v>
      </c>
      <c r="G104" s="22"/>
      <c r="H104" s="650" t="s">
        <v>291</v>
      </c>
      <c r="I104" s="495"/>
      <c r="J104" s="22"/>
      <c r="K104" s="22"/>
    </row>
    <row r="105" spans="2:11" x14ac:dyDescent="0.2">
      <c r="B105" s="691"/>
      <c r="C105" s="19" t="s">
        <v>927</v>
      </c>
      <c r="D105" s="661">
        <f>D84</f>
        <v>0</v>
      </c>
      <c r="E105" s="659"/>
      <c r="F105" s="663">
        <v>0</v>
      </c>
      <c r="G105" s="22"/>
      <c r="H105" s="650" t="s">
        <v>291</v>
      </c>
      <c r="I105" s="495"/>
      <c r="J105" s="22"/>
      <c r="K105" s="22"/>
    </row>
    <row r="106" spans="2:11" x14ac:dyDescent="0.2">
      <c r="B106" s="691"/>
      <c r="C106" s="19" t="s">
        <v>948</v>
      </c>
      <c r="D106" s="661">
        <f>'Vivienda Objeto'!N228</f>
        <v>628.18523869455078</v>
      </c>
      <c r="E106" s="659"/>
      <c r="F106" s="663">
        <f>F104</f>
        <v>628.18523869455078</v>
      </c>
      <c r="G106" s="22"/>
      <c r="H106" s="650" t="s">
        <v>291</v>
      </c>
      <c r="I106" s="495"/>
      <c r="J106" s="22"/>
      <c r="K106" s="22"/>
    </row>
    <row r="107" spans="2:11" x14ac:dyDescent="0.2">
      <c r="B107" s="691"/>
      <c r="C107" s="19"/>
      <c r="D107" s="693"/>
      <c r="E107" s="659"/>
      <c r="F107" s="659"/>
      <c r="G107" s="22"/>
      <c r="H107" s="650"/>
      <c r="I107" s="495"/>
      <c r="J107" s="22"/>
      <c r="K107" s="22"/>
    </row>
    <row r="108" spans="2:11" x14ac:dyDescent="0.2">
      <c r="B108" s="691"/>
      <c r="C108" s="24" t="s">
        <v>928</v>
      </c>
      <c r="D108" s="659"/>
      <c r="E108" s="659"/>
      <c r="F108" s="659"/>
      <c r="G108" s="22"/>
      <c r="H108" s="650"/>
      <c r="I108" s="495"/>
      <c r="J108" s="22"/>
      <c r="K108" s="22"/>
    </row>
    <row r="109" spans="2:11" x14ac:dyDescent="0.2">
      <c r="B109" s="691"/>
      <c r="C109" s="22"/>
      <c r="D109" s="659"/>
      <c r="E109" s="659"/>
      <c r="F109" s="659"/>
      <c r="G109" s="22"/>
      <c r="H109" s="650"/>
      <c r="I109" s="495"/>
      <c r="J109" s="22"/>
      <c r="K109" s="22"/>
    </row>
    <row r="110" spans="2:11" ht="14.25" x14ac:dyDescent="0.2">
      <c r="B110" s="691"/>
      <c r="C110" s="648" t="s">
        <v>370</v>
      </c>
      <c r="D110" s="663">
        <f>'Vivienda Objeto'!L226</f>
        <v>180.03313578443334</v>
      </c>
      <c r="E110" s="659"/>
      <c r="F110" s="663">
        <f>Referencia!K89</f>
        <v>237.00851245850308</v>
      </c>
      <c r="G110" s="22"/>
      <c r="H110" s="650" t="s">
        <v>865</v>
      </c>
      <c r="I110" s="495"/>
      <c r="J110" s="22"/>
      <c r="K110" s="22"/>
    </row>
    <row r="111" spans="2:11" ht="14.25" x14ac:dyDescent="0.2">
      <c r="B111" s="691"/>
      <c r="C111" s="648" t="s">
        <v>505</v>
      </c>
      <c r="D111" s="663">
        <f>'Vivienda Objeto'!L227</f>
        <v>35.113962638429435</v>
      </c>
      <c r="E111" s="659"/>
      <c r="F111" s="663">
        <f>Referencia!K90</f>
        <v>31.602566374586491</v>
      </c>
      <c r="G111" s="22"/>
      <c r="H111" s="650" t="s">
        <v>865</v>
      </c>
      <c r="I111" s="495"/>
      <c r="J111" s="22"/>
      <c r="K111" s="22"/>
    </row>
    <row r="112" spans="2:11" ht="14.25" x14ac:dyDescent="0.2">
      <c r="B112" s="691"/>
      <c r="C112" s="648" t="s">
        <v>372</v>
      </c>
      <c r="D112" s="663">
        <f>'Vivienda Objeto'!L228</f>
        <v>5.6567783763579538</v>
      </c>
      <c r="E112" s="659"/>
      <c r="F112" s="663">
        <f>Referencia!K91</f>
        <v>5.6567783763579538</v>
      </c>
      <c r="G112" s="22"/>
      <c r="H112" s="650" t="s">
        <v>865</v>
      </c>
      <c r="I112" s="495"/>
      <c r="J112" s="22"/>
      <c r="K112" s="22"/>
    </row>
    <row r="113" spans="2:11" x14ac:dyDescent="0.2">
      <c r="B113" s="691"/>
      <c r="C113" s="648"/>
      <c r="D113" s="659"/>
      <c r="E113" s="659"/>
      <c r="F113" s="659"/>
      <c r="G113" s="22"/>
      <c r="H113" s="650"/>
      <c r="I113" s="495"/>
      <c r="J113" s="22"/>
      <c r="K113" s="22"/>
    </row>
    <row r="114" spans="2:11" ht="14.25" x14ac:dyDescent="0.2">
      <c r="B114" s="691"/>
      <c r="C114" s="648" t="s">
        <v>373</v>
      </c>
      <c r="D114" s="663">
        <f>'Vivienda Objeto'!L230</f>
        <v>220.80387679922072</v>
      </c>
      <c r="E114" s="659"/>
      <c r="F114" s="663">
        <f>Referencia!K93</f>
        <v>274.26785720944753</v>
      </c>
      <c r="G114" s="22"/>
      <c r="H114" s="650" t="s">
        <v>865</v>
      </c>
      <c r="I114" s="495"/>
      <c r="J114" s="22"/>
      <c r="K114" s="22"/>
    </row>
    <row r="115" spans="2:11" x14ac:dyDescent="0.2">
      <c r="B115" s="691"/>
      <c r="C115" s="648"/>
      <c r="D115" s="659"/>
      <c r="E115" s="659"/>
      <c r="F115" s="659"/>
      <c r="G115" s="22"/>
      <c r="H115" s="650"/>
      <c r="I115" s="495"/>
      <c r="J115" s="22"/>
      <c r="K115" s="22"/>
    </row>
    <row r="116" spans="2:11" x14ac:dyDescent="0.2">
      <c r="B116" s="465"/>
      <c r="C116" s="46" t="s">
        <v>378</v>
      </c>
      <c r="D116" s="688"/>
      <c r="E116" s="688"/>
      <c r="F116" s="688"/>
      <c r="G116" s="46"/>
      <c r="H116" s="689"/>
      <c r="I116" s="694"/>
      <c r="J116" s="22"/>
      <c r="K116" s="22"/>
    </row>
    <row r="117" spans="2:11" x14ac:dyDescent="0.2">
      <c r="B117" s="691"/>
      <c r="C117" s="648"/>
      <c r="D117" s="659"/>
      <c r="E117" s="659"/>
      <c r="F117" s="659"/>
      <c r="G117" s="22"/>
      <c r="H117" s="650"/>
      <c r="I117" s="495"/>
      <c r="J117" s="22"/>
      <c r="K117" s="22"/>
    </row>
    <row r="118" spans="2:11" x14ac:dyDescent="0.2">
      <c r="B118" s="691"/>
      <c r="C118" s="648"/>
      <c r="D118" s="659"/>
      <c r="E118" s="659"/>
      <c r="F118" s="659"/>
      <c r="G118" s="22"/>
      <c r="H118" s="650"/>
      <c r="I118" s="495"/>
      <c r="J118" s="22"/>
      <c r="K118" s="22"/>
    </row>
    <row r="119" spans="2:11" ht="14.25" x14ac:dyDescent="0.2">
      <c r="B119" s="691"/>
      <c r="C119" s="648" t="s">
        <v>370</v>
      </c>
      <c r="D119" s="663">
        <f>'Vivienda Objeto'!L241</f>
        <v>198.03644936287671</v>
      </c>
      <c r="E119" s="659"/>
      <c r="F119" s="663">
        <f>Referencia!K97</f>
        <v>260.70936370435339</v>
      </c>
      <c r="G119" s="22"/>
      <c r="H119" s="650" t="s">
        <v>865</v>
      </c>
      <c r="I119" s="495"/>
      <c r="J119" s="22"/>
      <c r="K119" s="22"/>
    </row>
    <row r="120" spans="2:11" ht="14.25" x14ac:dyDescent="0.2">
      <c r="B120" s="691"/>
      <c r="C120" s="648" t="s">
        <v>505</v>
      </c>
      <c r="D120" s="663">
        <f>'Vivienda Objeto'!L242</f>
        <v>38.625358902272382</v>
      </c>
      <c r="E120" s="659"/>
      <c r="F120" s="663">
        <f>Referencia!K98</f>
        <v>34.762823012045146</v>
      </c>
      <c r="G120" s="22"/>
      <c r="H120" s="650" t="s">
        <v>865</v>
      </c>
      <c r="I120" s="495"/>
      <c r="J120" s="22"/>
      <c r="K120" s="22"/>
    </row>
    <row r="121" spans="2:11" ht="14.25" x14ac:dyDescent="0.2">
      <c r="B121" s="691"/>
      <c r="C121" s="648" t="s">
        <v>372</v>
      </c>
      <c r="D121" s="663">
        <f>'Vivienda Objeto'!L243</f>
        <v>11.313556752715908</v>
      </c>
      <c r="E121" s="659"/>
      <c r="F121" s="663">
        <f>Referencia!K99</f>
        <v>11.313556752715908</v>
      </c>
      <c r="G121" s="22"/>
      <c r="H121" s="650" t="s">
        <v>865</v>
      </c>
      <c r="I121" s="495"/>
      <c r="J121" s="22"/>
      <c r="K121" s="22"/>
    </row>
    <row r="122" spans="2:11" x14ac:dyDescent="0.2">
      <c r="B122" s="691"/>
      <c r="C122" s="648"/>
      <c r="D122" s="659"/>
      <c r="E122" s="659"/>
      <c r="F122" s="659"/>
      <c r="G122" s="22"/>
      <c r="H122" s="650"/>
      <c r="I122" s="495"/>
      <c r="J122" s="22"/>
      <c r="K122" s="22"/>
    </row>
    <row r="123" spans="2:11" ht="14.25" x14ac:dyDescent="0.2">
      <c r="B123" s="691"/>
      <c r="C123" s="648" t="s">
        <v>373</v>
      </c>
      <c r="D123" s="663">
        <f>'Vivienda Objeto'!L245</f>
        <v>247.97536501786499</v>
      </c>
      <c r="E123" s="659"/>
      <c r="F123" s="663">
        <f>Referencia!K101</f>
        <v>306.78574346911444</v>
      </c>
      <c r="G123" s="22"/>
      <c r="H123" s="650" t="s">
        <v>865</v>
      </c>
      <c r="I123" s="495"/>
      <c r="J123" s="22"/>
      <c r="K123" s="22"/>
    </row>
    <row r="124" spans="2:11" x14ac:dyDescent="0.2">
      <c r="B124" s="691"/>
      <c r="C124" s="648"/>
      <c r="D124" s="659"/>
      <c r="E124" s="659"/>
      <c r="F124" s="659"/>
      <c r="G124" s="22"/>
      <c r="H124" s="650"/>
      <c r="I124" s="495"/>
      <c r="J124" s="22"/>
      <c r="K124" s="22"/>
    </row>
    <row r="125" spans="2:11" x14ac:dyDescent="0.2">
      <c r="B125" s="691"/>
      <c r="C125" s="648"/>
      <c r="D125" s="659"/>
      <c r="E125" s="659"/>
      <c r="F125" s="659"/>
      <c r="G125" s="22"/>
      <c r="H125" s="650"/>
      <c r="I125" s="495"/>
      <c r="J125" s="22"/>
      <c r="K125" s="22"/>
    </row>
    <row r="126" spans="2:11" x14ac:dyDescent="0.2">
      <c r="B126" s="692"/>
      <c r="C126" s="46" t="s">
        <v>379</v>
      </c>
      <c r="D126" s="685"/>
      <c r="E126" s="685"/>
      <c r="F126" s="685"/>
      <c r="G126" s="341"/>
      <c r="H126" s="686"/>
      <c r="I126" s="483"/>
      <c r="J126" s="22"/>
      <c r="K126" s="22"/>
    </row>
    <row r="127" spans="2:11" x14ac:dyDescent="0.2">
      <c r="B127" s="691"/>
      <c r="C127" s="648"/>
      <c r="D127" s="659"/>
      <c r="E127" s="659"/>
      <c r="F127" s="659"/>
      <c r="G127" s="22"/>
      <c r="H127" s="650"/>
      <c r="I127" s="495"/>
      <c r="J127" s="22"/>
      <c r="K127" s="22"/>
    </row>
    <row r="128" spans="2:11" ht="15.75" x14ac:dyDescent="0.3">
      <c r="B128" s="691"/>
      <c r="C128" s="648" t="s">
        <v>430</v>
      </c>
      <c r="D128" s="700">
        <f>'Vivienda Objeto'!N249</f>
        <v>5014.1640759984202</v>
      </c>
      <c r="E128" s="701"/>
      <c r="F128" s="700">
        <f>Referencia!M106</f>
        <v>7527.4614582357963</v>
      </c>
      <c r="G128" s="22"/>
      <c r="H128" s="650" t="s">
        <v>1127</v>
      </c>
      <c r="I128" s="495"/>
      <c r="J128" s="22"/>
      <c r="K128" s="22"/>
    </row>
    <row r="129" spans="2:11" ht="15.75" x14ac:dyDescent="0.3">
      <c r="B129" s="691"/>
      <c r="C129" s="648" t="s">
        <v>432</v>
      </c>
      <c r="D129" s="700">
        <f>'Vivienda Objeto'!N250</f>
        <v>977.97091219019535</v>
      </c>
      <c r="E129" s="701"/>
      <c r="F129" s="700">
        <f>Referencia!M107</f>
        <v>880.17382097117581</v>
      </c>
      <c r="G129" s="22"/>
      <c r="H129" s="650" t="s">
        <v>1127</v>
      </c>
      <c r="I129" s="495"/>
      <c r="J129" s="22"/>
      <c r="K129" s="22"/>
    </row>
    <row r="130" spans="2:11" ht="15.75" x14ac:dyDescent="0.3">
      <c r="B130" s="691"/>
      <c r="C130" s="648" t="s">
        <v>929</v>
      </c>
      <c r="D130" s="700">
        <f>'Vivienda Objeto'!N251</f>
        <v>385.70573655845419</v>
      </c>
      <c r="E130" s="701"/>
      <c r="F130" s="700">
        <f>Referencia!M108</f>
        <v>385.70573655845419</v>
      </c>
      <c r="G130" s="22"/>
      <c r="H130" s="650" t="s">
        <v>1127</v>
      </c>
      <c r="I130" s="495"/>
      <c r="J130" s="22"/>
      <c r="K130" s="22"/>
    </row>
    <row r="131" spans="2:11" x14ac:dyDescent="0.2">
      <c r="B131" s="691"/>
      <c r="C131" s="648"/>
      <c r="D131" s="701"/>
      <c r="E131" s="701"/>
      <c r="F131" s="701"/>
      <c r="G131" s="22"/>
      <c r="H131" s="650"/>
      <c r="I131" s="495"/>
      <c r="J131" s="22"/>
      <c r="K131" s="22"/>
    </row>
    <row r="132" spans="2:11" ht="15.75" x14ac:dyDescent="0.3">
      <c r="B132" s="691"/>
      <c r="C132" s="648" t="s">
        <v>434</v>
      </c>
      <c r="D132" s="700">
        <f>'Vivienda Objeto'!N254</f>
        <v>6377.8407247470695</v>
      </c>
      <c r="E132" s="701"/>
      <c r="F132" s="700">
        <f>Referencia!M110</f>
        <v>8793.3410157654253</v>
      </c>
      <c r="G132" s="22"/>
      <c r="H132" s="650" t="s">
        <v>1127</v>
      </c>
      <c r="I132" s="495"/>
      <c r="J132" s="22"/>
      <c r="K132" s="22"/>
    </row>
    <row r="133" spans="2:11" x14ac:dyDescent="0.2">
      <c r="B133" s="691"/>
      <c r="C133" s="22"/>
      <c r="D133" s="659"/>
      <c r="E133" s="659"/>
      <c r="F133" s="659"/>
      <c r="G133" s="22"/>
      <c r="H133" s="650"/>
      <c r="I133" s="495"/>
      <c r="J133" s="22"/>
      <c r="K133" s="22"/>
    </row>
    <row r="134" spans="2:11" x14ac:dyDescent="0.2">
      <c r="B134" s="695"/>
      <c r="C134" s="696"/>
      <c r="D134" s="697"/>
      <c r="E134" s="697"/>
      <c r="F134" s="697"/>
      <c r="G134" s="696"/>
      <c r="H134" s="698"/>
      <c r="I134" s="699"/>
      <c r="J134" s="22"/>
      <c r="K134" s="22"/>
    </row>
    <row r="135" spans="2:11" x14ac:dyDescent="0.2">
      <c r="B135" s="22"/>
      <c r="C135" s="22"/>
      <c r="D135" s="659"/>
      <c r="E135" s="659"/>
      <c r="F135" s="659"/>
      <c r="G135" s="22"/>
      <c r="H135" s="650"/>
      <c r="I135" s="22"/>
      <c r="J135" s="22"/>
      <c r="K135" s="22"/>
    </row>
    <row r="136" spans="2:11" x14ac:dyDescent="0.2">
      <c r="B136" s="22"/>
      <c r="C136" s="22"/>
      <c r="D136" s="659"/>
      <c r="E136" s="659"/>
      <c r="F136" s="659"/>
      <c r="G136" s="22"/>
      <c r="H136" s="650"/>
      <c r="I136" s="22"/>
      <c r="J136" s="22"/>
      <c r="K136" s="22"/>
    </row>
    <row r="137" spans="2:11" x14ac:dyDescent="0.2">
      <c r="B137" s="22"/>
      <c r="C137" s="22"/>
      <c r="D137" s="659"/>
      <c r="E137" s="659"/>
      <c r="F137" s="659"/>
      <c r="G137" s="22"/>
      <c r="H137" s="650"/>
      <c r="I137" s="22"/>
      <c r="J137" s="22"/>
      <c r="K137" s="22"/>
    </row>
    <row r="138" spans="2:11" x14ac:dyDescent="0.2">
      <c r="B138" s="22"/>
      <c r="C138" s="22"/>
      <c r="D138" s="659"/>
      <c r="E138" s="659"/>
      <c r="F138" s="659"/>
      <c r="G138" s="22"/>
      <c r="H138" s="650"/>
      <c r="I138" s="22"/>
      <c r="J138" s="22"/>
      <c r="K138" s="22"/>
    </row>
    <row r="139" spans="2:11" x14ac:dyDescent="0.2">
      <c r="B139" s="22"/>
      <c r="C139" s="22"/>
      <c r="D139" s="659"/>
      <c r="E139" s="659"/>
      <c r="F139" s="659"/>
      <c r="G139" s="22"/>
      <c r="H139" s="650"/>
      <c r="I139" s="22"/>
      <c r="J139" s="22"/>
      <c r="K139" s="22"/>
    </row>
    <row r="140" spans="2:11" x14ac:dyDescent="0.2">
      <c r="B140" s="22"/>
      <c r="C140" s="22"/>
      <c r="D140" s="659"/>
      <c r="E140" s="659"/>
      <c r="F140" s="659"/>
      <c r="G140" s="22"/>
      <c r="H140" s="650"/>
      <c r="I140" s="22"/>
      <c r="J140" s="22"/>
      <c r="K140" s="22"/>
    </row>
    <row r="141" spans="2:11" x14ac:dyDescent="0.2">
      <c r="B141" s="22"/>
      <c r="C141" s="22"/>
      <c r="D141" s="659"/>
      <c r="E141" s="659"/>
      <c r="F141" s="659"/>
      <c r="G141" s="22"/>
      <c r="H141" s="650"/>
      <c r="I141" s="22"/>
      <c r="J141" s="22"/>
      <c r="K141" s="22"/>
    </row>
    <row r="142" spans="2:11" x14ac:dyDescent="0.2">
      <c r="D142" s="658"/>
      <c r="E142" s="658"/>
      <c r="F142" s="658"/>
    </row>
    <row r="143" spans="2:11" x14ac:dyDescent="0.2">
      <c r="D143" s="658"/>
      <c r="E143" s="658"/>
      <c r="F143" s="658"/>
    </row>
    <row r="144" spans="2:11" x14ac:dyDescent="0.2">
      <c r="D144" s="658"/>
      <c r="E144" s="658"/>
      <c r="F144" s="658"/>
    </row>
    <row r="145" spans="4:6" x14ac:dyDescent="0.2">
      <c r="D145" s="658"/>
      <c r="E145" s="658"/>
      <c r="F145" s="658"/>
    </row>
    <row r="146" spans="4:6" x14ac:dyDescent="0.2">
      <c r="D146" s="658"/>
      <c r="E146" s="658"/>
      <c r="F146" s="658"/>
    </row>
    <row r="147" spans="4:6" x14ac:dyDescent="0.2">
      <c r="D147" s="658"/>
      <c r="E147" s="658"/>
      <c r="F147" s="658"/>
    </row>
    <row r="148" spans="4:6" x14ac:dyDescent="0.2">
      <c r="D148" s="658"/>
      <c r="E148" s="658"/>
      <c r="F148" s="658"/>
    </row>
    <row r="149" spans="4:6" x14ac:dyDescent="0.2">
      <c r="D149" s="658"/>
      <c r="E149" s="658"/>
      <c r="F149" s="658"/>
    </row>
    <row r="150" spans="4:6" x14ac:dyDescent="0.2">
      <c r="D150" s="658"/>
      <c r="E150" s="658"/>
      <c r="F150" s="658"/>
    </row>
    <row r="151" spans="4:6" x14ac:dyDescent="0.2">
      <c r="D151" s="658"/>
      <c r="E151" s="658"/>
      <c r="F151" s="658"/>
    </row>
    <row r="152" spans="4:6" x14ac:dyDescent="0.2">
      <c r="D152" s="658"/>
      <c r="E152" s="658"/>
      <c r="F152" s="658"/>
    </row>
    <row r="153" spans="4:6" x14ac:dyDescent="0.2">
      <c r="D153" s="658"/>
      <c r="E153" s="658"/>
      <c r="F153" s="658"/>
    </row>
    <row r="154" spans="4:6" x14ac:dyDescent="0.2">
      <c r="D154" s="658"/>
      <c r="E154" s="658"/>
      <c r="F154" s="658"/>
    </row>
    <row r="155" spans="4:6" x14ac:dyDescent="0.2">
      <c r="D155" s="658"/>
      <c r="E155" s="658"/>
      <c r="F155" s="658"/>
    </row>
    <row r="156" spans="4:6" x14ac:dyDescent="0.2">
      <c r="D156" s="658"/>
      <c r="E156" s="658"/>
      <c r="F156" s="658"/>
    </row>
    <row r="157" spans="4:6" x14ac:dyDescent="0.2">
      <c r="D157" s="658"/>
      <c r="E157" s="658"/>
      <c r="F157" s="658"/>
    </row>
    <row r="158" spans="4:6" x14ac:dyDescent="0.2">
      <c r="D158" s="658"/>
      <c r="E158" s="658"/>
      <c r="F158" s="658"/>
    </row>
    <row r="159" spans="4:6" x14ac:dyDescent="0.2">
      <c r="D159" s="658"/>
      <c r="E159" s="658"/>
      <c r="F159" s="658"/>
    </row>
    <row r="160" spans="4:6" x14ac:dyDescent="0.2">
      <c r="D160" s="658"/>
      <c r="E160" s="658"/>
      <c r="F160" s="658"/>
    </row>
    <row r="161" spans="4:6" x14ac:dyDescent="0.2">
      <c r="D161" s="658"/>
      <c r="E161" s="658"/>
      <c r="F161" s="658"/>
    </row>
    <row r="162" spans="4:6" x14ac:dyDescent="0.2">
      <c r="D162" s="658"/>
      <c r="E162" s="658"/>
      <c r="F162" s="658"/>
    </row>
    <row r="163" spans="4:6" x14ac:dyDescent="0.2">
      <c r="D163" s="658"/>
      <c r="E163" s="658"/>
      <c r="F163" s="658"/>
    </row>
    <row r="164" spans="4:6" x14ac:dyDescent="0.2">
      <c r="D164" s="658"/>
      <c r="E164" s="658"/>
      <c r="F164" s="658"/>
    </row>
    <row r="165" spans="4:6" x14ac:dyDescent="0.2">
      <c r="D165" s="658"/>
      <c r="E165" s="658"/>
      <c r="F165" s="658"/>
    </row>
    <row r="166" spans="4:6" x14ac:dyDescent="0.2">
      <c r="D166" s="658"/>
      <c r="E166" s="658"/>
      <c r="F166" s="658"/>
    </row>
    <row r="167" spans="4:6" x14ac:dyDescent="0.2">
      <c r="D167" s="658"/>
      <c r="E167" s="658"/>
      <c r="F167" s="658"/>
    </row>
  </sheetData>
  <sheetProtection password="EE37" sheet="1"/>
  <phoneticPr fontId="42" type="noConversion"/>
  <pageMargins left="0.75" right="0.75" top="1" bottom="1" header="0" footer="0"/>
  <headerFooter alignWithMargins="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indexed="17"/>
    <pageSetUpPr autoPageBreaks="0"/>
  </sheetPr>
  <dimension ref="B2:AG122"/>
  <sheetViews>
    <sheetView showGridLines="0" showRowColHeaders="0" showOutlineSymbols="0" workbookViewId="0">
      <selection activeCell="D150" sqref="D150"/>
    </sheetView>
  </sheetViews>
  <sheetFormatPr baseColWidth="10" defaultRowHeight="12.75" x14ac:dyDescent="0.2"/>
  <cols>
    <col min="1" max="1" width="2.5703125" customWidth="1"/>
    <col min="2" max="2" width="3.42578125" customWidth="1"/>
    <col min="3" max="3" width="4.42578125" customWidth="1"/>
    <col min="4" max="4" width="3.42578125" customWidth="1"/>
    <col min="5" max="5" width="4.42578125" customWidth="1"/>
    <col min="6" max="18" width="3.42578125" customWidth="1"/>
    <col min="19" max="19" width="4.42578125" customWidth="1"/>
    <col min="20" max="20" width="3.42578125" customWidth="1"/>
    <col min="21" max="21" width="4.42578125" customWidth="1"/>
    <col min="22" max="32" width="3.42578125" customWidth="1"/>
    <col min="33" max="33" width="2.5703125" customWidth="1"/>
  </cols>
  <sheetData>
    <row r="2" spans="2:32" x14ac:dyDescent="0.2">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row>
    <row r="3" spans="2:32" ht="19.5" customHeight="1" x14ac:dyDescent="0.3">
      <c r="B3" s="425" t="s">
        <v>804</v>
      </c>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row>
    <row r="4" spans="2:32" ht="24" customHeight="1" x14ac:dyDescent="0.25">
      <c r="B4" s="317" t="str">
        <f>'R1'!C$102</f>
        <v>Calificación Energética</v>
      </c>
      <c r="C4" s="86"/>
      <c r="D4" s="86"/>
      <c r="E4" s="86"/>
      <c r="F4" s="86"/>
      <c r="G4" s="86"/>
      <c r="H4" s="86"/>
      <c r="I4" s="86"/>
      <c r="J4" s="86"/>
      <c r="K4" s="86"/>
      <c r="L4" s="86"/>
      <c r="M4" s="86"/>
      <c r="N4" s="86"/>
      <c r="O4" s="86"/>
      <c r="P4" s="86"/>
      <c r="Q4" s="86"/>
      <c r="R4" s="140" t="s">
        <v>789</v>
      </c>
      <c r="S4" s="86"/>
      <c r="T4" s="86"/>
      <c r="U4" s="86"/>
      <c r="V4" s="86"/>
      <c r="W4" s="86"/>
      <c r="X4" s="86"/>
      <c r="Y4" s="1378">
        <f>CE_Chile!G24</f>
        <v>0</v>
      </c>
      <c r="Z4" s="1379"/>
      <c r="AA4" s="1379"/>
      <c r="AB4" s="86"/>
      <c r="AC4" s="86"/>
      <c r="AD4" s="86"/>
      <c r="AE4" s="86"/>
      <c r="AF4" s="86"/>
    </row>
    <row r="5" spans="2:32" x14ac:dyDescent="0.2">
      <c r="B5" t="s">
        <v>722</v>
      </c>
      <c r="H5" s="1305">
        <f>CE_Chile!G15</f>
        <v>0</v>
      </c>
      <c r="I5" s="1305"/>
      <c r="J5" s="1305"/>
      <c r="K5" s="1305"/>
      <c r="L5" s="1305"/>
      <c r="M5" s="1305"/>
      <c r="N5" s="1305"/>
      <c r="O5" s="1305"/>
      <c r="P5" s="1305"/>
      <c r="R5" t="s">
        <v>704</v>
      </c>
      <c r="X5" s="16" t="str">
        <f>'R1'!C116</f>
        <v>Casa aislada</v>
      </c>
    </row>
    <row r="6" spans="2:32" x14ac:dyDescent="0.2">
      <c r="B6" t="s">
        <v>699</v>
      </c>
      <c r="H6" t="str">
        <f>CE_Chile!F10</f>
        <v>Huechuraba</v>
      </c>
      <c r="R6" t="s">
        <v>723</v>
      </c>
      <c r="X6">
        <f>'R1'!J2</f>
        <v>3</v>
      </c>
    </row>
    <row r="7" spans="2:32" ht="14.25" x14ac:dyDescent="0.2">
      <c r="B7" t="s">
        <v>698</v>
      </c>
      <c r="H7" t="str">
        <f>CE_Chile!F11</f>
        <v>RM</v>
      </c>
      <c r="R7" t="s">
        <v>702</v>
      </c>
      <c r="X7" s="1320">
        <f>'Vivienda Objeto'!D17</f>
        <v>111.05</v>
      </c>
      <c r="Y7" s="1320"/>
      <c r="Z7" t="s">
        <v>752</v>
      </c>
    </row>
    <row r="8" spans="2:32" x14ac:dyDescent="0.2">
      <c r="B8" t="s">
        <v>697</v>
      </c>
      <c r="H8">
        <f>CE_Chile!G18</f>
        <v>0</v>
      </c>
      <c r="R8" t="s">
        <v>701</v>
      </c>
      <c r="X8">
        <f>CE_Chile!G22</f>
        <v>0</v>
      </c>
    </row>
    <row r="9" spans="2:32" x14ac:dyDescent="0.2">
      <c r="B9" t="s">
        <v>700</v>
      </c>
      <c r="H9">
        <f>CE_Chile!G26</f>
        <v>0</v>
      </c>
      <c r="R9" t="s">
        <v>703</v>
      </c>
      <c r="X9">
        <f>CE_Chile!G23</f>
        <v>0</v>
      </c>
    </row>
    <row r="10" spans="2:32" ht="26.25" customHeight="1" thickBot="1" x14ac:dyDescent="0.25"/>
    <row r="11" spans="2:32" x14ac:dyDescent="0.2">
      <c r="B11" s="196" t="s">
        <v>705</v>
      </c>
      <c r="C11" s="324"/>
      <c r="D11" s="324"/>
      <c r="E11" s="324"/>
      <c r="F11" s="324"/>
      <c r="G11" s="324"/>
      <c r="H11" s="324"/>
      <c r="I11" s="324"/>
      <c r="J11" s="324"/>
      <c r="K11" s="324"/>
      <c r="L11" s="324"/>
      <c r="M11" s="324"/>
      <c r="N11" s="324"/>
      <c r="O11" s="324"/>
      <c r="P11" s="325"/>
      <c r="R11" s="196" t="s">
        <v>706</v>
      </c>
      <c r="S11" s="324"/>
      <c r="T11" s="324"/>
      <c r="U11" s="324"/>
      <c r="V11" s="324"/>
      <c r="W11" s="324"/>
      <c r="X11" s="324"/>
      <c r="Y11" s="324"/>
      <c r="Z11" s="324"/>
      <c r="AA11" s="324"/>
      <c r="AB11" s="324"/>
      <c r="AC11" s="324"/>
      <c r="AD11" s="324"/>
      <c r="AE11" s="324"/>
      <c r="AF11" s="325"/>
    </row>
    <row r="12" spans="2:32" ht="9" customHeight="1" x14ac:dyDescent="0.2">
      <c r="B12" s="322" t="s">
        <v>707</v>
      </c>
      <c r="C12" s="22"/>
      <c r="D12" s="22"/>
      <c r="E12" s="22"/>
      <c r="F12" s="22"/>
      <c r="G12" s="22"/>
      <c r="H12" s="22"/>
      <c r="I12" s="22"/>
      <c r="J12" s="22"/>
      <c r="K12" s="22"/>
      <c r="L12" s="22"/>
      <c r="M12" s="22"/>
      <c r="N12" s="22"/>
      <c r="O12" s="22"/>
      <c r="P12" s="326"/>
      <c r="R12" s="322" t="s">
        <v>707</v>
      </c>
      <c r="S12" s="22"/>
      <c r="T12" s="22"/>
      <c r="U12" s="22"/>
      <c r="V12" s="22"/>
      <c r="W12" s="22"/>
      <c r="X12" s="22"/>
      <c r="Y12" s="22"/>
      <c r="Z12" s="22"/>
      <c r="AA12" s="22"/>
      <c r="AB12" s="22"/>
      <c r="AC12" s="22"/>
      <c r="AD12" s="22"/>
      <c r="AE12" s="22"/>
      <c r="AF12" s="326"/>
    </row>
    <row r="13" spans="2:32" x14ac:dyDescent="0.2">
      <c r="B13" s="318" t="s">
        <v>713</v>
      </c>
      <c r="C13" s="327">
        <f>'R3'!B5</f>
        <v>0</v>
      </c>
      <c r="D13" s="327" t="s">
        <v>712</v>
      </c>
      <c r="E13" s="327">
        <f>'R3'!C5</f>
        <v>40</v>
      </c>
      <c r="F13" s="22"/>
      <c r="G13" s="22"/>
      <c r="H13" s="22"/>
      <c r="I13" s="22"/>
      <c r="J13" s="22"/>
      <c r="K13" s="22"/>
      <c r="L13" s="22"/>
      <c r="M13" s="1368" t="e">
        <f>CE_Chile!#REF!</f>
        <v>#REF!</v>
      </c>
      <c r="N13" s="1368"/>
      <c r="O13" s="1363" t="e">
        <f>CE_Chile!#REF!</f>
        <v>#REF!</v>
      </c>
      <c r="P13" s="1363"/>
      <c r="R13" s="318" t="s">
        <v>713</v>
      </c>
      <c r="S13" s="327">
        <f>'R3'!B14</f>
        <v>0</v>
      </c>
      <c r="T13" s="327" t="s">
        <v>712</v>
      </c>
      <c r="U13" s="327">
        <f>'R3'!C14</f>
        <v>30</v>
      </c>
      <c r="V13" s="22"/>
      <c r="W13" s="22"/>
      <c r="X13" s="22"/>
      <c r="Y13" s="22"/>
      <c r="Z13" s="22"/>
      <c r="AA13" s="22"/>
      <c r="AB13" s="22"/>
      <c r="AC13" s="1368" t="e">
        <f>CE_Chile!#REF!</f>
        <v>#REF!</v>
      </c>
      <c r="AD13" s="1368"/>
      <c r="AE13" s="1362" t="e">
        <f>CE_Chile!#REF!</f>
        <v>#REF!</v>
      </c>
      <c r="AF13" s="1363"/>
    </row>
    <row r="14" spans="2:32" ht="3.75" customHeight="1" x14ac:dyDescent="0.2">
      <c r="B14" s="328"/>
      <c r="C14" s="22"/>
      <c r="D14" s="22"/>
      <c r="E14" s="22"/>
      <c r="F14" s="22"/>
      <c r="G14" s="22"/>
      <c r="H14" s="22"/>
      <c r="I14" s="22"/>
      <c r="J14" s="22"/>
      <c r="K14" s="22"/>
      <c r="L14" s="22"/>
      <c r="M14" s="22"/>
      <c r="N14" s="22"/>
      <c r="O14" s="353"/>
      <c r="P14" s="354"/>
      <c r="R14" s="328"/>
      <c r="S14" s="22"/>
      <c r="T14" s="22"/>
      <c r="U14" s="22"/>
      <c r="V14" s="22"/>
      <c r="W14" s="22"/>
      <c r="X14" s="22"/>
      <c r="Y14" s="22"/>
      <c r="Z14" s="22"/>
      <c r="AA14" s="22"/>
      <c r="AB14" s="22"/>
      <c r="AC14" s="22"/>
      <c r="AD14" s="22"/>
      <c r="AE14" s="353"/>
      <c r="AF14" s="354"/>
    </row>
    <row r="15" spans="2:32" x14ac:dyDescent="0.2">
      <c r="B15" s="319" t="s">
        <v>714</v>
      </c>
      <c r="C15" s="329">
        <f>'R3'!B6</f>
        <v>40</v>
      </c>
      <c r="D15" s="329" t="s">
        <v>712</v>
      </c>
      <c r="E15" s="329">
        <f>'R3'!C6</f>
        <v>50</v>
      </c>
      <c r="F15" s="331"/>
      <c r="G15" s="22"/>
      <c r="H15" s="22"/>
      <c r="I15" s="22"/>
      <c r="J15" s="22"/>
      <c r="K15" s="22"/>
      <c r="L15" s="22"/>
      <c r="M15" s="1368" t="e">
        <f>CE_Chile!#REF!</f>
        <v>#REF!</v>
      </c>
      <c r="N15" s="1368"/>
      <c r="O15" s="1362" t="e">
        <f>CE_Chile!#REF!</f>
        <v>#REF!</v>
      </c>
      <c r="P15" s="1363"/>
      <c r="R15" s="319" t="s">
        <v>714</v>
      </c>
      <c r="S15" s="329">
        <f>'R3'!B15</f>
        <v>30</v>
      </c>
      <c r="T15" s="329" t="s">
        <v>712</v>
      </c>
      <c r="U15" s="329">
        <f>'R3'!C15</f>
        <v>45</v>
      </c>
      <c r="V15" s="331"/>
      <c r="W15" s="22"/>
      <c r="X15" s="22"/>
      <c r="Y15" s="22"/>
      <c r="Z15" s="22"/>
      <c r="AA15" s="22"/>
      <c r="AB15" s="22"/>
      <c r="AC15" s="1368" t="e">
        <f>CE_Chile!#REF!</f>
        <v>#REF!</v>
      </c>
      <c r="AD15" s="1368"/>
      <c r="AE15" s="1362" t="e">
        <f>CE_Chile!#REF!</f>
        <v>#REF!</v>
      </c>
      <c r="AF15" s="1363"/>
    </row>
    <row r="16" spans="2:32" ht="3.75" customHeight="1" x14ac:dyDescent="0.2">
      <c r="B16" s="328"/>
      <c r="C16" s="22"/>
      <c r="D16" s="22"/>
      <c r="E16" s="22"/>
      <c r="F16" s="22"/>
      <c r="G16" s="22"/>
      <c r="H16" s="22"/>
      <c r="I16" s="22"/>
      <c r="J16" s="22"/>
      <c r="K16" s="22"/>
      <c r="L16" s="22"/>
      <c r="M16" s="22"/>
      <c r="N16" s="22"/>
      <c r="O16" s="353"/>
      <c r="P16" s="354"/>
      <c r="R16" s="328"/>
      <c r="S16" s="22"/>
      <c r="T16" s="22"/>
      <c r="U16" s="22"/>
      <c r="V16" s="22"/>
      <c r="W16" s="22"/>
      <c r="X16" s="22"/>
      <c r="Y16" s="22"/>
      <c r="Z16" s="22"/>
      <c r="AA16" s="22"/>
      <c r="AB16" s="22"/>
      <c r="AC16" s="22"/>
      <c r="AD16" s="22"/>
      <c r="AE16" s="353"/>
      <c r="AF16" s="354"/>
    </row>
    <row r="17" spans="2:32" x14ac:dyDescent="0.2">
      <c r="B17" s="332" t="s">
        <v>715</v>
      </c>
      <c r="C17" s="333">
        <f>'R3'!B7</f>
        <v>50</v>
      </c>
      <c r="D17" s="333" t="s">
        <v>712</v>
      </c>
      <c r="E17" s="333">
        <f>'R3'!C7</f>
        <v>65</v>
      </c>
      <c r="F17" s="334"/>
      <c r="G17" s="334"/>
      <c r="H17" s="22"/>
      <c r="I17" s="22"/>
      <c r="J17" s="22"/>
      <c r="K17" s="22"/>
      <c r="L17" s="22"/>
      <c r="M17" s="1368" t="e">
        <f>CE_Chile!#REF!</f>
        <v>#REF!</v>
      </c>
      <c r="N17" s="1368"/>
      <c r="O17" s="1362" t="e">
        <f>CE_Chile!#REF!</f>
        <v>#REF!</v>
      </c>
      <c r="P17" s="1363"/>
      <c r="R17" s="332" t="s">
        <v>715</v>
      </c>
      <c r="S17" s="333">
        <f>'R3'!B16</f>
        <v>45</v>
      </c>
      <c r="T17" s="333" t="s">
        <v>712</v>
      </c>
      <c r="U17" s="333">
        <f>'R3'!C16</f>
        <v>60</v>
      </c>
      <c r="V17" s="334"/>
      <c r="W17" s="334"/>
      <c r="X17" s="22"/>
      <c r="Y17" s="22"/>
      <c r="Z17" s="22"/>
      <c r="AA17" s="22"/>
      <c r="AB17" s="22"/>
      <c r="AC17" s="1368" t="e">
        <f>CE_Chile!#REF!</f>
        <v>#REF!</v>
      </c>
      <c r="AD17" s="1368"/>
      <c r="AE17" s="1362" t="e">
        <f>CE_Chile!#REF!</f>
        <v>#REF!</v>
      </c>
      <c r="AF17" s="1363"/>
    </row>
    <row r="18" spans="2:32" ht="5.25" customHeight="1" x14ac:dyDescent="0.2">
      <c r="B18" s="328"/>
      <c r="C18" s="22"/>
      <c r="D18" s="22"/>
      <c r="E18" s="22"/>
      <c r="F18" s="22"/>
      <c r="G18" s="22"/>
      <c r="H18" s="22"/>
      <c r="I18" s="22"/>
      <c r="J18" s="22"/>
      <c r="K18" s="22"/>
      <c r="L18" s="22"/>
      <c r="M18" s="22"/>
      <c r="N18" s="22"/>
      <c r="O18" s="353"/>
      <c r="P18" s="354"/>
      <c r="R18" s="328"/>
      <c r="S18" s="22"/>
      <c r="T18" s="22"/>
      <c r="U18" s="22"/>
      <c r="V18" s="22"/>
      <c r="W18" s="22"/>
      <c r="X18" s="22"/>
      <c r="Y18" s="22"/>
      <c r="Z18" s="22"/>
      <c r="AA18" s="22"/>
      <c r="AB18" s="22"/>
      <c r="AC18" s="22"/>
      <c r="AD18" s="22"/>
      <c r="AE18" s="353"/>
      <c r="AF18" s="354"/>
    </row>
    <row r="19" spans="2:32" x14ac:dyDescent="0.2">
      <c r="B19" s="320" t="s">
        <v>339</v>
      </c>
      <c r="C19" s="335">
        <f>'R3'!B8</f>
        <v>65</v>
      </c>
      <c r="D19" s="335" t="s">
        <v>712</v>
      </c>
      <c r="E19" s="335">
        <f>'R3'!C8</f>
        <v>85</v>
      </c>
      <c r="F19" s="336"/>
      <c r="G19" s="336"/>
      <c r="H19" s="336"/>
      <c r="I19" s="22"/>
      <c r="J19" s="22"/>
      <c r="K19" s="22"/>
      <c r="L19" s="22"/>
      <c r="M19" s="1368" t="e">
        <f>CE_Chile!#REF!</f>
        <v>#REF!</v>
      </c>
      <c r="N19" s="1368"/>
      <c r="O19" s="1362" t="e">
        <f>CE_Chile!#REF!</f>
        <v>#REF!</v>
      </c>
      <c r="P19" s="1363"/>
      <c r="R19" s="320" t="s">
        <v>339</v>
      </c>
      <c r="S19" s="335">
        <f>'R3'!B17</f>
        <v>60</v>
      </c>
      <c r="T19" s="335" t="s">
        <v>712</v>
      </c>
      <c r="U19" s="335">
        <f>'R3'!C17</f>
        <v>80</v>
      </c>
      <c r="V19" s="352"/>
      <c r="W19" s="352"/>
      <c r="X19" s="352"/>
      <c r="Y19" s="22"/>
      <c r="Z19" s="22"/>
      <c r="AA19" s="22"/>
      <c r="AB19" s="22"/>
      <c r="AC19" s="1368" t="e">
        <f>CE_Chile!#REF!</f>
        <v>#REF!</v>
      </c>
      <c r="AD19" s="1368"/>
      <c r="AE19" s="1362" t="e">
        <f>CE_Chile!#REF!</f>
        <v>#REF!</v>
      </c>
      <c r="AF19" s="1363"/>
    </row>
    <row r="20" spans="2:32" ht="3.75" customHeight="1" x14ac:dyDescent="0.2">
      <c r="B20" s="328"/>
      <c r="C20" s="22"/>
      <c r="D20" s="22"/>
      <c r="E20" s="22"/>
      <c r="F20" s="22"/>
      <c r="G20" s="22"/>
      <c r="H20" s="22"/>
      <c r="I20" s="22"/>
      <c r="J20" s="22"/>
      <c r="K20" s="22"/>
      <c r="L20" s="22"/>
      <c r="M20" s="22"/>
      <c r="N20" s="22"/>
      <c r="O20" s="353"/>
      <c r="P20" s="354"/>
      <c r="R20" s="328"/>
      <c r="S20" s="22"/>
      <c r="T20" s="22"/>
      <c r="U20" s="22"/>
      <c r="V20" s="22"/>
      <c r="W20" s="22"/>
      <c r="X20" s="22"/>
      <c r="Y20" s="22"/>
      <c r="Z20" s="22"/>
      <c r="AA20" s="22"/>
      <c r="AB20" s="22"/>
      <c r="AC20" s="22"/>
      <c r="AD20" s="22"/>
      <c r="AE20" s="353"/>
      <c r="AF20" s="354"/>
    </row>
    <row r="21" spans="2:32" x14ac:dyDescent="0.2">
      <c r="B21" s="321" t="s">
        <v>716</v>
      </c>
      <c r="C21" s="337">
        <f>'R3'!B9</f>
        <v>85</v>
      </c>
      <c r="D21" s="337" t="s">
        <v>712</v>
      </c>
      <c r="E21" s="337">
        <f>'R3'!C9</f>
        <v>110</v>
      </c>
      <c r="F21" s="338"/>
      <c r="G21" s="338"/>
      <c r="H21" s="338"/>
      <c r="I21" s="338"/>
      <c r="J21" s="22"/>
      <c r="K21" s="22"/>
      <c r="L21" s="22"/>
      <c r="M21" s="1368" t="e">
        <f>CE_Chile!#REF!</f>
        <v>#REF!</v>
      </c>
      <c r="N21" s="1368"/>
      <c r="O21" s="1362" t="e">
        <f>CE_Chile!#REF!</f>
        <v>#REF!</v>
      </c>
      <c r="P21" s="1363"/>
      <c r="R21" s="321" t="s">
        <v>716</v>
      </c>
      <c r="S21" s="337">
        <f>'R3'!B18</f>
        <v>80</v>
      </c>
      <c r="T21" s="337" t="s">
        <v>712</v>
      </c>
      <c r="U21" s="337">
        <f>'R3'!C18</f>
        <v>110</v>
      </c>
      <c r="V21" s="338"/>
      <c r="W21" s="338"/>
      <c r="X21" s="338"/>
      <c r="Y21" s="338"/>
      <c r="Z21" s="22"/>
      <c r="AA21" s="22"/>
      <c r="AB21" s="22"/>
      <c r="AC21" s="1368" t="e">
        <f>CE_Chile!#REF!</f>
        <v>#REF!</v>
      </c>
      <c r="AD21" s="1368"/>
      <c r="AE21" s="1362" t="e">
        <f>CE_Chile!#REF!</f>
        <v>#REF!</v>
      </c>
      <c r="AF21" s="1363"/>
    </row>
    <row r="22" spans="2:32" ht="4.5" customHeight="1" x14ac:dyDescent="0.2">
      <c r="B22" s="328"/>
      <c r="C22" s="22"/>
      <c r="D22" s="22"/>
      <c r="E22" s="22"/>
      <c r="F22" s="22"/>
      <c r="G22" s="22"/>
      <c r="H22" s="22"/>
      <c r="I22" s="22"/>
      <c r="J22" s="22"/>
      <c r="K22" s="22"/>
      <c r="L22" s="22"/>
      <c r="M22" s="22"/>
      <c r="N22" s="22"/>
      <c r="O22" s="353"/>
      <c r="P22" s="354"/>
      <c r="R22" s="328"/>
      <c r="S22" s="22"/>
      <c r="T22" s="22"/>
      <c r="U22" s="22"/>
      <c r="V22" s="22"/>
      <c r="W22" s="22"/>
      <c r="X22" s="22"/>
      <c r="Y22" s="22"/>
      <c r="Z22" s="22"/>
      <c r="AA22" s="22"/>
      <c r="AB22" s="22"/>
      <c r="AC22" s="22"/>
      <c r="AD22" s="22"/>
      <c r="AE22" s="353"/>
      <c r="AF22" s="354"/>
    </row>
    <row r="23" spans="2:32" x14ac:dyDescent="0.2">
      <c r="B23" s="339" t="s">
        <v>717</v>
      </c>
      <c r="C23" s="340">
        <f>'R3'!B10</f>
        <v>110</v>
      </c>
      <c r="D23" s="340" t="s">
        <v>712</v>
      </c>
      <c r="E23" s="340">
        <f>'R3'!C10</f>
        <v>135</v>
      </c>
      <c r="F23" s="341"/>
      <c r="G23" s="341"/>
      <c r="H23" s="341"/>
      <c r="I23" s="341"/>
      <c r="J23" s="341"/>
      <c r="K23" s="22"/>
      <c r="L23" s="22"/>
      <c r="M23" s="1368" t="e">
        <f>CE_Chile!#REF!</f>
        <v>#REF!</v>
      </c>
      <c r="N23" s="1368"/>
      <c r="O23" s="1362" t="e">
        <f>CE_Chile!#REF!</f>
        <v>#REF!</v>
      </c>
      <c r="P23" s="1363"/>
      <c r="R23" s="339" t="s">
        <v>717</v>
      </c>
      <c r="S23" s="340">
        <f>'R3'!B19</f>
        <v>110</v>
      </c>
      <c r="T23" s="340" t="s">
        <v>712</v>
      </c>
      <c r="U23" s="340">
        <f>'R3'!C19</f>
        <v>135</v>
      </c>
      <c r="V23" s="341"/>
      <c r="W23" s="341"/>
      <c r="X23" s="341"/>
      <c r="Y23" s="341"/>
      <c r="Z23" s="341"/>
      <c r="AA23" s="22"/>
      <c r="AB23" s="22"/>
      <c r="AC23" s="1368" t="e">
        <f>CE_Chile!#REF!</f>
        <v>#REF!</v>
      </c>
      <c r="AD23" s="1368"/>
      <c r="AE23" s="1362" t="e">
        <f>CE_Chile!#REF!</f>
        <v>#REF!</v>
      </c>
      <c r="AF23" s="1363"/>
    </row>
    <row r="24" spans="2:32" ht="3.75" customHeight="1" x14ac:dyDescent="0.2">
      <c r="B24" s="328"/>
      <c r="C24" s="22"/>
      <c r="D24" s="22"/>
      <c r="E24" s="22"/>
      <c r="F24" s="22"/>
      <c r="G24" s="22"/>
      <c r="H24" s="22"/>
      <c r="I24" s="22"/>
      <c r="J24" s="22"/>
      <c r="K24" s="22"/>
      <c r="L24" s="22"/>
      <c r="M24" s="22"/>
      <c r="N24" s="22"/>
      <c r="O24" s="353"/>
      <c r="P24" s="354"/>
      <c r="R24" s="328"/>
      <c r="S24" s="22"/>
      <c r="T24" s="22"/>
      <c r="U24" s="22"/>
      <c r="V24" s="22"/>
      <c r="W24" s="22"/>
      <c r="X24" s="22"/>
      <c r="Y24" s="22"/>
      <c r="Z24" s="22"/>
      <c r="AA24" s="22"/>
      <c r="AB24" s="22"/>
      <c r="AC24" s="22"/>
      <c r="AD24" s="22"/>
      <c r="AE24" s="353"/>
      <c r="AF24" s="354"/>
    </row>
    <row r="25" spans="2:32" x14ac:dyDescent="0.2">
      <c r="B25" s="342" t="s">
        <v>718</v>
      </c>
      <c r="C25" s="343">
        <f>'R3'!B11</f>
        <v>135</v>
      </c>
      <c r="D25" s="343" t="s">
        <v>712</v>
      </c>
      <c r="E25" s="343">
        <f>'R3'!C11</f>
        <v>500</v>
      </c>
      <c r="F25" s="344"/>
      <c r="G25" s="344"/>
      <c r="H25" s="344"/>
      <c r="I25" s="344"/>
      <c r="J25" s="344"/>
      <c r="K25" s="344"/>
      <c r="L25" s="22"/>
      <c r="M25" s="1368" t="e">
        <f>CE_Chile!#REF!</f>
        <v>#REF!</v>
      </c>
      <c r="N25" s="1368"/>
      <c r="O25" s="1362" t="e">
        <f>CE_Chile!#REF!</f>
        <v>#REF!</v>
      </c>
      <c r="P25" s="1363"/>
      <c r="R25" s="342" t="s">
        <v>718</v>
      </c>
      <c r="S25" s="343">
        <f>'R3'!B20</f>
        <v>135</v>
      </c>
      <c r="T25" s="343" t="s">
        <v>712</v>
      </c>
      <c r="U25" s="343">
        <f>'R3'!C20</f>
        <v>500</v>
      </c>
      <c r="V25" s="344"/>
      <c r="W25" s="344"/>
      <c r="X25" s="344"/>
      <c r="Y25" s="344"/>
      <c r="Z25" s="344"/>
      <c r="AA25" s="344"/>
      <c r="AB25" s="22"/>
      <c r="AC25" s="1368" t="e">
        <f>CE_Chile!#REF!</f>
        <v>#REF!</v>
      </c>
      <c r="AD25" s="1368"/>
      <c r="AE25" s="1362" t="e">
        <f>CE_Chile!#REF!</f>
        <v>#REF!</v>
      </c>
      <c r="AF25" s="1363"/>
    </row>
    <row r="26" spans="2:32" ht="13.5" thickBot="1" x14ac:dyDescent="0.25">
      <c r="B26" s="345" t="s">
        <v>708</v>
      </c>
      <c r="C26" s="346"/>
      <c r="D26" s="346"/>
      <c r="E26" s="346"/>
      <c r="F26" s="346"/>
      <c r="G26" s="346"/>
      <c r="H26" s="346"/>
      <c r="I26" s="346"/>
      <c r="J26" s="346"/>
      <c r="K26" s="346"/>
      <c r="L26" s="346"/>
      <c r="M26" s="346"/>
      <c r="N26" s="346"/>
      <c r="O26" s="346"/>
      <c r="P26" s="347"/>
      <c r="R26" s="345" t="s">
        <v>708</v>
      </c>
      <c r="S26" s="346"/>
      <c r="T26" s="346"/>
      <c r="U26" s="346"/>
      <c r="V26" s="346"/>
      <c r="W26" s="346"/>
      <c r="X26" s="346"/>
      <c r="Y26" s="346"/>
      <c r="Z26" s="346"/>
      <c r="AA26" s="346"/>
      <c r="AB26" s="346"/>
      <c r="AC26" s="346"/>
      <c r="AD26" s="346"/>
      <c r="AE26" s="346"/>
      <c r="AF26" s="347"/>
    </row>
    <row r="27" spans="2:32" ht="15" thickBot="1" x14ac:dyDescent="0.25">
      <c r="B27" s="348" t="s">
        <v>710</v>
      </c>
      <c r="C27" s="349"/>
      <c r="D27" s="349"/>
      <c r="E27" s="349"/>
      <c r="F27" s="349"/>
      <c r="G27" s="349"/>
      <c r="H27" s="1364" t="e">
        <f>CE_Chile!#REF!</f>
        <v>#REF!</v>
      </c>
      <c r="I27" s="1364"/>
      <c r="J27" s="349"/>
      <c r="K27" s="350" t="s">
        <v>694</v>
      </c>
      <c r="L27" s="349"/>
      <c r="M27" s="349"/>
      <c r="N27" s="349"/>
      <c r="O27" s="349"/>
      <c r="P27" s="351"/>
      <c r="R27" s="348" t="s">
        <v>378</v>
      </c>
      <c r="S27" s="349"/>
      <c r="T27" s="349"/>
      <c r="U27" s="349"/>
      <c r="V27" s="349"/>
      <c r="W27" s="349"/>
      <c r="X27" s="349"/>
      <c r="Y27" s="349"/>
      <c r="Z27" s="1364" t="e">
        <f>CE_Chile!#REF!</f>
        <v>#REF!</v>
      </c>
      <c r="AA27" s="1364"/>
      <c r="AB27" s="349"/>
      <c r="AC27" s="350" t="s">
        <v>694</v>
      </c>
      <c r="AD27" s="349"/>
      <c r="AE27" s="349"/>
      <c r="AF27" s="351"/>
    </row>
    <row r="28" spans="2:32" ht="95.25" customHeight="1" thickBot="1" x14ac:dyDescent="0.25">
      <c r="B28" s="1365" t="s">
        <v>801</v>
      </c>
      <c r="C28" s="1366"/>
      <c r="D28" s="1366"/>
      <c r="E28" s="1366"/>
      <c r="F28" s="1366"/>
      <c r="G28" s="1366"/>
      <c r="H28" s="1366"/>
      <c r="I28" s="1366"/>
      <c r="J28" s="1366"/>
      <c r="K28" s="1366"/>
      <c r="L28" s="1366"/>
      <c r="M28" s="1366"/>
      <c r="N28" s="1366"/>
      <c r="O28" s="1366"/>
      <c r="P28" s="1367"/>
      <c r="R28" s="1365" t="s">
        <v>802</v>
      </c>
      <c r="S28" s="1366"/>
      <c r="T28" s="1366"/>
      <c r="U28" s="1366"/>
      <c r="V28" s="1366"/>
      <c r="W28" s="1366"/>
      <c r="X28" s="1366"/>
      <c r="Y28" s="1366"/>
      <c r="Z28" s="1366"/>
      <c r="AA28" s="1366"/>
      <c r="AB28" s="1366"/>
      <c r="AC28" s="1366"/>
      <c r="AD28" s="1366"/>
      <c r="AE28" s="1366"/>
      <c r="AF28" s="1367"/>
    </row>
    <row r="30" spans="2:32" ht="15.75" x14ac:dyDescent="0.25">
      <c r="B30" s="86" t="s">
        <v>711</v>
      </c>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row>
    <row r="31" spans="2:32" ht="13.5" thickBot="1" x14ac:dyDescent="0.25">
      <c r="X31" s="11"/>
    </row>
    <row r="32" spans="2:32" ht="13.5" thickBot="1" x14ac:dyDescent="0.25">
      <c r="B32" s="360" t="s">
        <v>719</v>
      </c>
      <c r="C32" s="361"/>
      <c r="D32" s="361"/>
      <c r="E32" s="361"/>
      <c r="F32" s="361"/>
      <c r="G32" s="361"/>
      <c r="H32" s="361"/>
      <c r="I32" s="361"/>
      <c r="J32" s="362"/>
      <c r="L32" s="196" t="s">
        <v>653</v>
      </c>
      <c r="M32" s="355"/>
      <c r="N32" s="355"/>
      <c r="O32" s="355"/>
      <c r="P32" s="355"/>
      <c r="Q32" s="355"/>
      <c r="R32" s="355"/>
      <c r="S32" s="355"/>
      <c r="T32" s="355"/>
      <c r="U32" s="356"/>
      <c r="W32" s="196" t="s">
        <v>750</v>
      </c>
      <c r="X32" s="355"/>
      <c r="Y32" s="355"/>
      <c r="Z32" s="355"/>
      <c r="AA32" s="355"/>
      <c r="AB32" s="355"/>
      <c r="AC32" s="355"/>
      <c r="AD32" s="355"/>
      <c r="AE32" s="355"/>
      <c r="AF32" s="356"/>
    </row>
    <row r="33" spans="2:33" ht="12" customHeight="1" x14ac:dyDescent="0.2">
      <c r="B33" s="378"/>
      <c r="C33" s="1377" t="e">
        <f>CE_Chile!#REF!</f>
        <v>#REF!</v>
      </c>
      <c r="D33" s="1377"/>
      <c r="E33" s="70" t="s">
        <v>374</v>
      </c>
      <c r="F33" s="379"/>
      <c r="G33" s="379"/>
      <c r="H33" s="379"/>
      <c r="I33" s="379"/>
      <c r="J33" s="380"/>
      <c r="L33" s="1374" t="s">
        <v>721</v>
      </c>
      <c r="M33" s="1375"/>
      <c r="N33" s="1375"/>
      <c r="O33" s="1375"/>
      <c r="P33" s="1375"/>
      <c r="Q33" s="1375"/>
      <c r="R33" s="1373" t="e">
        <f>CE_Chile!#REF!</f>
        <v>#REF!</v>
      </c>
      <c r="S33" s="1373"/>
      <c r="T33" s="1360"/>
      <c r="U33" s="1361"/>
      <c r="W33" s="369"/>
      <c r="X33" s="363"/>
      <c r="Y33" s="363"/>
      <c r="Z33" s="363"/>
      <c r="AA33" s="363"/>
      <c r="AB33" s="363"/>
      <c r="AC33" s="363"/>
      <c r="AD33" s="363"/>
      <c r="AE33" s="363"/>
      <c r="AF33" s="364"/>
    </row>
    <row r="34" spans="2:33" x14ac:dyDescent="0.2">
      <c r="B34" s="381"/>
      <c r="C34" s="1372" t="e">
        <f>CE_Chile!#REF!</f>
        <v>#REF!</v>
      </c>
      <c r="D34" s="1372"/>
      <c r="E34" s="3" t="s">
        <v>720</v>
      </c>
      <c r="F34" s="5"/>
      <c r="G34" s="5"/>
      <c r="H34" s="5"/>
      <c r="I34" s="5"/>
      <c r="J34" s="382"/>
      <c r="L34" s="328"/>
      <c r="M34" s="22"/>
      <c r="N34" s="22"/>
      <c r="O34" s="22"/>
      <c r="P34" s="22"/>
      <c r="Q34" s="22"/>
      <c r="R34" s="22"/>
      <c r="S34" s="22"/>
      <c r="T34" s="22"/>
      <c r="U34" s="326"/>
      <c r="W34" s="330"/>
      <c r="X34" s="365"/>
      <c r="Y34" s="365"/>
      <c r="Z34" s="365"/>
      <c r="AA34" s="365"/>
      <c r="AB34" s="365"/>
      <c r="AC34" s="365"/>
      <c r="AD34" s="365"/>
      <c r="AE34" s="365"/>
      <c r="AF34" s="366"/>
    </row>
    <row r="35" spans="2:33" x14ac:dyDescent="0.2">
      <c r="B35" s="381"/>
      <c r="C35" s="5"/>
      <c r="D35" s="5"/>
      <c r="E35" s="5"/>
      <c r="F35" s="5"/>
      <c r="G35" s="5"/>
      <c r="H35" s="5"/>
      <c r="I35" s="5"/>
      <c r="J35" s="382"/>
      <c r="L35" s="1376"/>
      <c r="M35" s="1360"/>
      <c r="N35" s="1360"/>
      <c r="O35" s="1360"/>
      <c r="P35" s="1360"/>
      <c r="Q35" s="1360"/>
      <c r="R35" s="1360"/>
      <c r="S35" s="1360"/>
      <c r="T35" s="1360"/>
      <c r="U35" s="1361"/>
      <c r="W35" s="358"/>
      <c r="X35" s="22"/>
      <c r="Y35" s="22"/>
      <c r="Z35" s="22"/>
      <c r="AA35" s="22"/>
      <c r="AB35" s="22"/>
      <c r="AC35" s="22"/>
      <c r="AD35" s="22"/>
      <c r="AE35" s="22"/>
      <c r="AF35" s="326"/>
    </row>
    <row r="36" spans="2:33" x14ac:dyDescent="0.2">
      <c r="B36" s="381"/>
      <c r="C36" s="5"/>
      <c r="D36" s="5"/>
      <c r="E36" s="5"/>
      <c r="F36" s="5"/>
      <c r="G36" s="5"/>
      <c r="H36" s="5"/>
      <c r="I36" s="5"/>
      <c r="J36" s="382"/>
      <c r="L36" s="322"/>
      <c r="M36" s="371"/>
      <c r="N36" s="371"/>
      <c r="O36" s="371"/>
      <c r="P36" s="371"/>
      <c r="Q36" s="371"/>
      <c r="R36" s="371"/>
      <c r="S36" s="371"/>
      <c r="T36" s="371"/>
      <c r="U36" s="372"/>
      <c r="W36" s="330"/>
      <c r="X36" s="365"/>
      <c r="Y36" s="365"/>
      <c r="Z36" s="365"/>
      <c r="AA36" s="365"/>
      <c r="AB36" s="365"/>
      <c r="AC36" s="365"/>
      <c r="AD36" s="365"/>
      <c r="AE36" s="365"/>
      <c r="AF36" s="366"/>
    </row>
    <row r="37" spans="2:33" ht="10.5" customHeight="1" x14ac:dyDescent="0.2">
      <c r="B37" s="381"/>
      <c r="C37" s="5"/>
      <c r="D37" s="5"/>
      <c r="E37" s="5"/>
      <c r="F37" s="5"/>
      <c r="G37" s="5"/>
      <c r="H37" s="5"/>
      <c r="I37" s="5"/>
      <c r="J37" s="382"/>
      <c r="L37" s="358" t="s">
        <v>791</v>
      </c>
      <c r="M37" s="22"/>
      <c r="N37" s="22"/>
      <c r="O37" s="22"/>
      <c r="P37" s="22"/>
      <c r="Q37" s="22"/>
      <c r="R37" s="22"/>
      <c r="S37" s="22"/>
      <c r="T37" s="22"/>
      <c r="U37" s="326"/>
      <c r="W37" s="370"/>
      <c r="X37" s="22"/>
      <c r="Y37" s="22"/>
      <c r="Z37" s="22"/>
      <c r="AA37" s="22"/>
      <c r="AB37" s="22"/>
      <c r="AC37" s="22"/>
      <c r="AD37" s="22"/>
      <c r="AE37" s="22"/>
      <c r="AF37" s="326"/>
    </row>
    <row r="38" spans="2:33" ht="13.5" thickBot="1" x14ac:dyDescent="0.25">
      <c r="B38" s="383"/>
      <c r="C38" s="384"/>
      <c r="D38" s="384"/>
      <c r="E38" s="384"/>
      <c r="F38" s="384"/>
      <c r="G38" s="384"/>
      <c r="H38" s="384"/>
      <c r="I38" s="384"/>
      <c r="J38" s="385"/>
      <c r="L38" s="359" t="s">
        <v>790</v>
      </c>
      <c r="M38" s="346"/>
      <c r="N38" s="346"/>
      <c r="O38" s="346"/>
      <c r="P38" s="346"/>
      <c r="Q38" s="346"/>
      <c r="R38" s="346"/>
      <c r="S38" s="346"/>
      <c r="T38" s="346"/>
      <c r="U38" s="347"/>
      <c r="W38" s="357"/>
      <c r="X38" s="367"/>
      <c r="Y38" s="367"/>
      <c r="Z38" s="367"/>
      <c r="AA38" s="367"/>
      <c r="AB38" s="367"/>
      <c r="AC38" s="367"/>
      <c r="AD38" s="367"/>
      <c r="AE38" s="367"/>
      <c r="AF38" s="368"/>
    </row>
    <row r="39" spans="2:33" s="386" customFormat="1" ht="17.25" customHeight="1" x14ac:dyDescent="0.2">
      <c r="B39" s="386" t="s">
        <v>759</v>
      </c>
      <c r="L39" s="386" t="s">
        <v>759</v>
      </c>
      <c r="W39" s="386" t="s">
        <v>760</v>
      </c>
    </row>
    <row r="40" spans="2:33" ht="15.75" x14ac:dyDescent="0.25">
      <c r="B40" s="86" t="s">
        <v>730</v>
      </c>
      <c r="C40" s="323"/>
      <c r="D40" s="323"/>
      <c r="E40" s="323"/>
      <c r="F40" s="323"/>
      <c r="G40" s="323"/>
      <c r="H40" s="323"/>
      <c r="I40" s="323"/>
      <c r="J40" s="323"/>
      <c r="K40" s="323"/>
      <c r="L40" s="374"/>
      <c r="M40" s="374"/>
      <c r="N40" s="374"/>
      <c r="O40" s="374"/>
      <c r="P40" s="374"/>
      <c r="Q40" s="374"/>
      <c r="R40" s="374"/>
      <c r="S40" s="374"/>
      <c r="T40" s="374"/>
      <c r="U40" s="374"/>
      <c r="V40" s="323"/>
      <c r="W40" s="323"/>
      <c r="X40" s="323"/>
      <c r="Y40" s="323"/>
      <c r="Z40" s="323"/>
      <c r="AA40" s="323"/>
      <c r="AB40" s="323"/>
      <c r="AC40" s="323"/>
      <c r="AD40" s="323"/>
      <c r="AE40" s="323"/>
      <c r="AF40" s="323"/>
    </row>
    <row r="41" spans="2:33" ht="8.25" customHeight="1" x14ac:dyDescent="0.2"/>
    <row r="42" spans="2:33" ht="67.5" customHeight="1" x14ac:dyDescent="0.2">
      <c r="B42" s="1227" t="s">
        <v>798</v>
      </c>
      <c r="C42" s="1227"/>
      <c r="D42" s="1227"/>
      <c r="E42" s="1227"/>
      <c r="F42" s="1227"/>
      <c r="G42" s="1227"/>
      <c r="H42" s="1227"/>
      <c r="I42" s="1227"/>
      <c r="J42" s="1227"/>
      <c r="K42" s="1227"/>
      <c r="L42" s="1227"/>
      <c r="M42" s="1227"/>
      <c r="N42" s="1227"/>
      <c r="O42" s="1227"/>
      <c r="P42" s="1227"/>
      <c r="Q42" s="1227"/>
      <c r="R42" s="1227"/>
      <c r="S42" s="1227"/>
      <c r="T42" s="1227"/>
      <c r="U42" s="1227"/>
      <c r="V42" s="1227"/>
      <c r="W42" s="1227"/>
      <c r="X42" s="1227"/>
      <c r="Y42" s="1227"/>
      <c r="Z42" s="1227"/>
      <c r="AA42" s="1227"/>
      <c r="AB42" s="1227"/>
      <c r="AC42" s="1227"/>
      <c r="AD42" s="1227"/>
      <c r="AE42" s="1227"/>
      <c r="AF42" s="1227"/>
    </row>
    <row r="43" spans="2:33" ht="93" customHeight="1" x14ac:dyDescent="0.2">
      <c r="B43" s="1227" t="s">
        <v>799</v>
      </c>
      <c r="C43" s="1227"/>
      <c r="D43" s="1227"/>
      <c r="E43" s="1227"/>
      <c r="F43" s="1227"/>
      <c r="G43" s="1227"/>
      <c r="H43" s="1227"/>
      <c r="I43" s="1227"/>
      <c r="J43" s="1227"/>
      <c r="K43" s="1227"/>
      <c r="L43" s="1227"/>
      <c r="M43" s="1227"/>
      <c r="N43" s="1227"/>
      <c r="O43" s="1227"/>
      <c r="P43" s="1227"/>
      <c r="Q43" s="1227"/>
      <c r="R43" s="1227"/>
      <c r="S43" s="1227"/>
      <c r="T43" s="1227"/>
      <c r="U43" s="1227"/>
      <c r="V43" s="1227"/>
      <c r="W43" s="1227"/>
      <c r="X43" s="1227"/>
      <c r="Y43" s="1227"/>
      <c r="Z43" s="1227"/>
      <c r="AA43" s="1227"/>
      <c r="AB43" s="1227"/>
      <c r="AC43" s="1227"/>
      <c r="AD43" s="1227"/>
      <c r="AE43" s="1227"/>
      <c r="AF43" s="1227"/>
    </row>
    <row r="44" spans="2:33" ht="47.25" customHeight="1" x14ac:dyDescent="0.2">
      <c r="B44" s="1227" t="s">
        <v>800</v>
      </c>
      <c r="C44" s="1227"/>
      <c r="D44" s="1227"/>
      <c r="E44" s="1227"/>
      <c r="F44" s="1227"/>
      <c r="G44" s="1227"/>
      <c r="H44" s="1227"/>
      <c r="I44" s="1227"/>
      <c r="J44" s="1227"/>
      <c r="K44" s="1227"/>
      <c r="L44" s="1227"/>
      <c r="M44" s="1227"/>
      <c r="N44" s="1227"/>
      <c r="O44" s="1227"/>
      <c r="P44" s="1227"/>
      <c r="Q44" s="1227"/>
      <c r="R44" s="1227"/>
      <c r="S44" s="1227"/>
      <c r="T44" s="1227"/>
      <c r="U44" s="1227"/>
      <c r="V44" s="1227"/>
      <c r="W44" s="1227"/>
      <c r="X44" s="1227"/>
      <c r="Y44" s="1227"/>
      <c r="Z44" s="1227"/>
      <c r="AA44" s="1227"/>
      <c r="AB44" s="1227"/>
      <c r="AC44" s="1227"/>
      <c r="AD44" s="1227"/>
      <c r="AE44" s="1227"/>
      <c r="AF44" s="1227"/>
    </row>
    <row r="45" spans="2:33" ht="38.25" customHeight="1" x14ac:dyDescent="0.2">
      <c r="B45" s="149"/>
      <c r="C45" s="149"/>
      <c r="D45" s="149"/>
      <c r="E45" s="149"/>
      <c r="F45" s="149"/>
      <c r="G45" s="149"/>
      <c r="H45" s="149"/>
      <c r="I45" s="149"/>
      <c r="J45" s="149"/>
      <c r="K45" s="149"/>
      <c r="L45" s="149"/>
      <c r="M45" s="149"/>
      <c r="N45" s="149"/>
      <c r="O45" s="149"/>
      <c r="P45" s="149"/>
      <c r="Q45" s="149"/>
      <c r="R45" s="140" t="s">
        <v>731</v>
      </c>
      <c r="S45" s="149"/>
      <c r="T45" s="149"/>
      <c r="U45" s="149"/>
      <c r="V45" s="149"/>
      <c r="W45" s="149"/>
      <c r="X45" s="140"/>
      <c r="Y45" s="140">
        <f>CE_Chile!G19</f>
        <v>0</v>
      </c>
      <c r="Z45" s="149"/>
      <c r="AA45" s="149"/>
      <c r="AB45" s="149"/>
      <c r="AC45" s="149"/>
      <c r="AD45" s="422"/>
      <c r="AE45" s="1295">
        <f>Inicio!U4</f>
        <v>1</v>
      </c>
      <c r="AF45" s="1295"/>
    </row>
    <row r="46" spans="2:33" ht="14.25" customHeight="1" x14ac:dyDescent="0.2">
      <c r="B46" s="149"/>
      <c r="C46" s="149"/>
      <c r="D46" s="149"/>
      <c r="E46" s="149"/>
      <c r="F46" s="149"/>
      <c r="G46" s="149"/>
      <c r="H46" s="149"/>
      <c r="I46" s="149"/>
      <c r="J46" s="149"/>
      <c r="K46" s="149"/>
      <c r="L46" s="149"/>
      <c r="M46" s="149"/>
      <c r="N46" s="149"/>
      <c r="O46" s="149"/>
      <c r="P46" s="149"/>
      <c r="Q46" s="149"/>
      <c r="R46" s="140" t="s">
        <v>778</v>
      </c>
      <c r="S46" s="149"/>
      <c r="T46" s="149"/>
      <c r="U46" s="149"/>
      <c r="V46" s="149"/>
      <c r="W46" s="149"/>
      <c r="X46" s="149"/>
      <c r="Y46" s="140">
        <f>CE_Chile!G20</f>
        <v>0</v>
      </c>
      <c r="Z46" s="149"/>
      <c r="AA46" s="149"/>
      <c r="AB46" s="149"/>
      <c r="AC46" s="149"/>
      <c r="AD46" s="149"/>
      <c r="AE46" s="149"/>
      <c r="AF46" s="149"/>
    </row>
    <row r="47" spans="2:33" ht="30" customHeight="1" x14ac:dyDescent="0.2">
      <c r="Q47" s="377"/>
    </row>
    <row r="48" spans="2:33" ht="51.75" customHeight="1" x14ac:dyDescent="0.2">
      <c r="Q48" s="377"/>
      <c r="AG48" s="11"/>
    </row>
    <row r="49" spans="2:32" s="11" customFormat="1" x14ac:dyDescent="0.2">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row>
    <row r="50" spans="2:32" ht="19.5" customHeight="1" x14ac:dyDescent="0.3">
      <c r="B50" s="425" t="s">
        <v>804</v>
      </c>
      <c r="C50" s="323"/>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3"/>
      <c r="AD50" s="323"/>
      <c r="AE50" s="323"/>
      <c r="AF50" s="323"/>
    </row>
    <row r="51" spans="2:32" ht="24" customHeight="1" x14ac:dyDescent="0.25">
      <c r="B51" s="317" t="str">
        <f>'R1'!C102</f>
        <v>Calificación Energética</v>
      </c>
      <c r="C51" s="86"/>
      <c r="D51" s="86"/>
      <c r="E51" s="86"/>
      <c r="F51" s="86"/>
      <c r="G51" s="86"/>
      <c r="H51" s="86"/>
      <c r="I51" s="86"/>
      <c r="J51" s="86"/>
      <c r="K51" s="86"/>
      <c r="L51" s="86"/>
      <c r="M51" s="86"/>
      <c r="N51" s="86"/>
      <c r="O51" s="86"/>
      <c r="P51" s="86"/>
      <c r="Q51" s="86"/>
      <c r="R51" s="140" t="s">
        <v>789</v>
      </c>
      <c r="S51" s="86"/>
      <c r="T51" s="86"/>
      <c r="U51" s="86"/>
      <c r="V51" s="86"/>
      <c r="W51" s="86"/>
      <c r="X51" s="86"/>
      <c r="Y51" s="1378">
        <f>CE_Chile!G24</f>
        <v>0</v>
      </c>
      <c r="Z51" s="1379"/>
      <c r="AA51" s="1379"/>
      <c r="AB51" s="86"/>
      <c r="AC51" s="86"/>
      <c r="AD51" s="86"/>
      <c r="AE51" s="86"/>
      <c r="AF51" s="86"/>
    </row>
    <row r="53" spans="2:32" ht="15.75" x14ac:dyDescent="0.25">
      <c r="B53" s="86" t="s">
        <v>738</v>
      </c>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row>
    <row r="54" spans="2:32" ht="13.5" thickBot="1" x14ac:dyDescent="0.25"/>
    <row r="55" spans="2:32" ht="14.25" x14ac:dyDescent="0.25">
      <c r="B55" s="1370" t="s">
        <v>739</v>
      </c>
      <c r="C55" s="1369"/>
      <c r="D55" s="1369"/>
      <c r="E55" s="1369"/>
      <c r="F55" s="1369"/>
      <c r="G55" s="1369"/>
      <c r="H55" s="1369"/>
      <c r="I55" s="1369"/>
      <c r="J55" s="1369"/>
      <c r="K55" s="1369"/>
      <c r="L55" s="1369" t="s">
        <v>655</v>
      </c>
      <c r="M55" s="1369"/>
      <c r="N55" s="1369"/>
      <c r="O55" s="1369"/>
      <c r="P55" s="1369" t="s">
        <v>658</v>
      </c>
      <c r="Q55" s="1369"/>
      <c r="R55" s="1369"/>
      <c r="S55" s="1369"/>
      <c r="T55" s="1369" t="s">
        <v>312</v>
      </c>
      <c r="U55" s="1369"/>
      <c r="V55" s="1369"/>
      <c r="W55" s="1371"/>
      <c r="AB55" s="1380" t="s">
        <v>743</v>
      </c>
      <c r="AC55" s="1381"/>
      <c r="AD55" s="1381"/>
      <c r="AE55" s="1381"/>
      <c r="AF55" s="1382"/>
    </row>
    <row r="56" spans="2:32" ht="14.25" x14ac:dyDescent="0.2">
      <c r="B56" s="1326" t="s">
        <v>742</v>
      </c>
      <c r="C56" s="1327"/>
      <c r="D56" s="1327"/>
      <c r="E56" s="1327"/>
      <c r="F56" s="1327"/>
      <c r="G56" s="1327"/>
      <c r="H56" s="1327"/>
      <c r="I56" s="1327"/>
      <c r="J56" s="1327"/>
      <c r="K56" s="1327"/>
      <c r="L56" s="1322">
        <f>'R1'!B126</f>
        <v>80.81591633862763</v>
      </c>
      <c r="M56" s="1322"/>
      <c r="N56" s="1322"/>
      <c r="O56" s="1322"/>
      <c r="P56" s="1322">
        <f>'R1'!C126</f>
        <v>3.9066118494754822</v>
      </c>
      <c r="Q56" s="1322"/>
      <c r="R56" s="1322"/>
      <c r="S56" s="1322"/>
      <c r="T56" s="1322">
        <f>'R1'!D126</f>
        <v>15.277471811896893</v>
      </c>
      <c r="U56" s="1322"/>
      <c r="V56" s="1322"/>
      <c r="W56" s="1323"/>
      <c r="AB56" s="1383" t="s">
        <v>744</v>
      </c>
      <c r="AC56" s="1343"/>
      <c r="AD56" s="1343"/>
      <c r="AE56" s="1343"/>
      <c r="AF56" s="1344"/>
    </row>
    <row r="57" spans="2:32" ht="13.5" thickBot="1" x14ac:dyDescent="0.25">
      <c r="B57" s="1326" t="s">
        <v>741</v>
      </c>
      <c r="C57" s="1327"/>
      <c r="D57" s="1327"/>
      <c r="E57" s="1327"/>
      <c r="F57" s="1327"/>
      <c r="G57" s="1327"/>
      <c r="H57" s="1327"/>
      <c r="I57" s="1327"/>
      <c r="J57" s="1327"/>
      <c r="K57" s="1327"/>
      <c r="L57" s="1322">
        <f>'R1'!B127</f>
        <v>81.535314684777632</v>
      </c>
      <c r="M57" s="1322"/>
      <c r="N57" s="1322"/>
      <c r="O57" s="1322"/>
      <c r="P57" s="1322">
        <f>'R1'!C127</f>
        <v>2.561901746635419</v>
      </c>
      <c r="Q57" s="1322"/>
      <c r="R57" s="1322"/>
      <c r="S57" s="1322"/>
      <c r="T57" s="1322">
        <f>'R1'!D127</f>
        <v>15.902783568586946</v>
      </c>
      <c r="U57" s="1322"/>
      <c r="V57" s="1322"/>
      <c r="W57" s="1323"/>
      <c r="AB57" s="1384">
        <f>'Vivienda Objeto'!L254</f>
        <v>57.432154207537771</v>
      </c>
      <c r="AC57" s="1385"/>
      <c r="AD57" s="1385"/>
      <c r="AE57" s="1385"/>
      <c r="AF57" s="1386"/>
    </row>
    <row r="58" spans="2:32" ht="13.5" thickBot="1" x14ac:dyDescent="0.25">
      <c r="B58" s="1328" t="s">
        <v>740</v>
      </c>
      <c r="C58" s="1329"/>
      <c r="D58" s="1329"/>
      <c r="E58" s="1329"/>
      <c r="F58" s="1329"/>
      <c r="G58" s="1329"/>
      <c r="H58" s="1329"/>
      <c r="I58" s="1329"/>
      <c r="J58" s="1329"/>
      <c r="K58" s="1329"/>
      <c r="L58" s="1324">
        <f>'R1'!B128</f>
        <v>79.861339995853811</v>
      </c>
      <c r="M58" s="1324"/>
      <c r="N58" s="1324"/>
      <c r="O58" s="1324"/>
      <c r="P58" s="1324">
        <f>'R1'!C128</f>
        <v>4.5623712467973752</v>
      </c>
      <c r="Q58" s="1324"/>
      <c r="R58" s="1324"/>
      <c r="S58" s="1324"/>
      <c r="T58" s="1324">
        <f>'R1'!D128</f>
        <v>15.576288757348811</v>
      </c>
      <c r="U58" s="1324"/>
      <c r="V58" s="1324"/>
      <c r="W58" s="1325"/>
    </row>
    <row r="60" spans="2:32" ht="15.75" x14ac:dyDescent="0.25">
      <c r="B60" s="86" t="s">
        <v>786</v>
      </c>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row>
    <row r="61" spans="2:32" ht="13.5" thickBot="1" x14ac:dyDescent="0.25"/>
    <row r="62" spans="2:32" x14ac:dyDescent="0.2">
      <c r="B62" s="1357" t="s">
        <v>757</v>
      </c>
      <c r="C62" s="1354" t="s">
        <v>739</v>
      </c>
      <c r="D62" s="1354"/>
      <c r="E62" s="1354"/>
      <c r="F62" s="1354"/>
      <c r="G62" s="1354"/>
      <c r="H62" s="1352" t="s">
        <v>753</v>
      </c>
      <c r="I62" s="1352"/>
      <c r="J62" s="1354" t="s">
        <v>754</v>
      </c>
      <c r="K62" s="1354"/>
      <c r="L62" s="1354"/>
      <c r="M62" s="1354"/>
      <c r="N62" s="1354"/>
      <c r="O62" s="1354"/>
      <c r="P62" s="1354"/>
      <c r="Q62" s="1354"/>
      <c r="R62" s="1354"/>
      <c r="S62" s="1354"/>
      <c r="T62" s="1354"/>
      <c r="U62" s="1354"/>
      <c r="V62" s="1354"/>
      <c r="W62" s="1354"/>
      <c r="X62" s="1354"/>
      <c r="Y62" s="1354"/>
      <c r="Z62" s="1354"/>
      <c r="AA62" s="1341" t="s">
        <v>787</v>
      </c>
      <c r="AB62" s="1341"/>
      <c r="AC62" s="1341"/>
      <c r="AD62" s="1341"/>
      <c r="AE62" s="1341"/>
      <c r="AF62" s="1342"/>
    </row>
    <row r="63" spans="2:32" ht="14.25" x14ac:dyDescent="0.2">
      <c r="B63" s="1358"/>
      <c r="C63" s="1355"/>
      <c r="D63" s="1355"/>
      <c r="E63" s="1355"/>
      <c r="F63" s="1355"/>
      <c r="G63" s="1355"/>
      <c r="H63" s="1353"/>
      <c r="I63" s="1353"/>
      <c r="J63" s="1355"/>
      <c r="K63" s="1355"/>
      <c r="L63" s="1355"/>
      <c r="M63" s="1355"/>
      <c r="N63" s="1355"/>
      <c r="O63" s="1355"/>
      <c r="P63" s="1355"/>
      <c r="Q63" s="1355"/>
      <c r="R63" s="1355"/>
      <c r="S63" s="1355"/>
      <c r="T63" s="1355"/>
      <c r="U63" s="1355"/>
      <c r="V63" s="1355"/>
      <c r="W63" s="1355"/>
      <c r="X63" s="1355"/>
      <c r="Y63" s="1355"/>
      <c r="Z63" s="1355"/>
      <c r="AA63" s="1343" t="s">
        <v>751</v>
      </c>
      <c r="AB63" s="1343"/>
      <c r="AC63" s="1343"/>
      <c r="AD63" s="1343"/>
      <c r="AE63" s="1343"/>
      <c r="AF63" s="1344"/>
    </row>
    <row r="64" spans="2:32" ht="20.25" customHeight="1" x14ac:dyDescent="0.2">
      <c r="B64" s="1358"/>
      <c r="C64" s="1355"/>
      <c r="D64" s="1355"/>
      <c r="E64" s="1355"/>
      <c r="F64" s="1355"/>
      <c r="G64" s="1355"/>
      <c r="H64" s="1353"/>
      <c r="I64" s="1353"/>
      <c r="J64" s="1356"/>
      <c r="K64" s="1356"/>
      <c r="L64" s="1356"/>
      <c r="M64" s="1356"/>
      <c r="N64" s="1356"/>
      <c r="O64" s="1356"/>
      <c r="P64" s="1356"/>
      <c r="Q64" s="1356"/>
      <c r="R64" s="1356"/>
      <c r="S64" s="1356"/>
      <c r="T64" s="1356"/>
      <c r="U64" s="1356"/>
      <c r="V64" s="1356"/>
      <c r="W64" s="1356"/>
      <c r="X64" s="1356"/>
      <c r="Y64" s="1356"/>
      <c r="Z64" s="1356"/>
      <c r="AA64" s="1349" t="s">
        <v>748</v>
      </c>
      <c r="AB64" s="1350"/>
      <c r="AC64" s="1351"/>
      <c r="AD64" s="1389" t="s">
        <v>749</v>
      </c>
      <c r="AE64" s="1390"/>
      <c r="AF64" s="1391"/>
    </row>
    <row r="65" spans="2:32" ht="31.5" customHeight="1" x14ac:dyDescent="0.2">
      <c r="B65" s="1358"/>
      <c r="C65" s="1321" t="s">
        <v>733</v>
      </c>
      <c r="D65" s="1321"/>
      <c r="E65" s="1321"/>
      <c r="F65" s="1321"/>
      <c r="G65" s="1321"/>
      <c r="H65" s="1303">
        <f>CE_Chile!D66</f>
        <v>71.33</v>
      </c>
      <c r="I65" s="1303"/>
      <c r="J65" s="1304">
        <f>CE_Chile!D31</f>
        <v>0</v>
      </c>
      <c r="K65" s="1304"/>
      <c r="L65" s="1304"/>
      <c r="M65" s="1304"/>
      <c r="N65" s="1304"/>
      <c r="O65" s="1304"/>
      <c r="P65" s="1304"/>
      <c r="Q65" s="1304"/>
      <c r="R65" s="1304"/>
      <c r="S65" s="1304"/>
      <c r="T65" s="1304"/>
      <c r="U65" s="1304"/>
      <c r="V65" s="1304"/>
      <c r="W65" s="1304"/>
      <c r="X65" s="1304"/>
      <c r="Y65" s="1304"/>
      <c r="Z65" s="1304"/>
      <c r="AA65" s="1345">
        <f>CE_Chile!F66</f>
        <v>1.58</v>
      </c>
      <c r="AB65" s="1346"/>
      <c r="AC65" s="1346"/>
      <c r="AD65" s="1345">
        <f>CE_Chile!H66</f>
        <v>1.9</v>
      </c>
      <c r="AE65" s="1346"/>
      <c r="AF65" s="1347"/>
    </row>
    <row r="66" spans="2:32" ht="34.5" customHeight="1" x14ac:dyDescent="0.2">
      <c r="B66" s="1358"/>
      <c r="C66" s="1321" t="s">
        <v>734</v>
      </c>
      <c r="D66" s="1321"/>
      <c r="E66" s="1321"/>
      <c r="F66" s="1321"/>
      <c r="G66" s="1321"/>
      <c r="H66" s="1303">
        <f>CE_Chile!D67</f>
        <v>54.25</v>
      </c>
      <c r="I66" s="1303"/>
      <c r="J66" s="1304">
        <f>CE_Chile!D32</f>
        <v>0</v>
      </c>
      <c r="K66" s="1304"/>
      <c r="L66" s="1304"/>
      <c r="M66" s="1304"/>
      <c r="N66" s="1304"/>
      <c r="O66" s="1304"/>
      <c r="P66" s="1304"/>
      <c r="Q66" s="1304"/>
      <c r="R66" s="1304"/>
      <c r="S66" s="1304"/>
      <c r="T66" s="1304"/>
      <c r="U66" s="1304"/>
      <c r="V66" s="1304"/>
      <c r="W66" s="1304"/>
      <c r="X66" s="1304"/>
      <c r="Y66" s="1304"/>
      <c r="Z66" s="1304"/>
      <c r="AA66" s="1345">
        <f>CE_Chile!F67</f>
        <v>0.46</v>
      </c>
      <c r="AB66" s="1346"/>
      <c r="AC66" s="1346"/>
      <c r="AD66" s="1345">
        <f>CE_Chile!H67</f>
        <v>1.9</v>
      </c>
      <c r="AE66" s="1346"/>
      <c r="AF66" s="1347"/>
    </row>
    <row r="67" spans="2:32" ht="32.25" customHeight="1" x14ac:dyDescent="0.2">
      <c r="B67" s="1358"/>
      <c r="C67" s="1321" t="s">
        <v>745</v>
      </c>
      <c r="D67" s="1321"/>
      <c r="E67" s="1321"/>
      <c r="F67" s="1321"/>
      <c r="G67" s="1321"/>
      <c r="H67" s="1303" t="s">
        <v>779</v>
      </c>
      <c r="I67" s="1303"/>
      <c r="J67" s="1304">
        <f>CE_Chile!D33</f>
        <v>0</v>
      </c>
      <c r="K67" s="1304"/>
      <c r="L67" s="1304"/>
      <c r="M67" s="1304"/>
      <c r="N67" s="1304"/>
      <c r="O67" s="1304"/>
      <c r="P67" s="1304"/>
      <c r="Q67" s="1304"/>
      <c r="R67" s="1304"/>
      <c r="S67" s="1304"/>
      <c r="T67" s="1304"/>
      <c r="U67" s="1304"/>
      <c r="V67" s="1304"/>
      <c r="W67" s="1304"/>
      <c r="X67" s="1304"/>
      <c r="Y67" s="1304"/>
      <c r="Z67" s="1304"/>
      <c r="AA67" s="1346" t="s">
        <v>779</v>
      </c>
      <c r="AB67" s="1346"/>
      <c r="AC67" s="1346"/>
      <c r="AD67" s="1346" t="s">
        <v>779</v>
      </c>
      <c r="AE67" s="1346"/>
      <c r="AF67" s="1347"/>
    </row>
    <row r="68" spans="2:32" ht="34.5" customHeight="1" x14ac:dyDescent="0.2">
      <c r="B68" s="1358"/>
      <c r="C68" s="1321" t="s">
        <v>746</v>
      </c>
      <c r="D68" s="1321"/>
      <c r="E68" s="1321"/>
      <c r="F68" s="1321"/>
      <c r="G68" s="1321"/>
      <c r="H68" s="1303">
        <f>CE_Chile!D69</f>
        <v>71.650000000000006</v>
      </c>
      <c r="I68" s="1303"/>
      <c r="J68" s="1304">
        <f>CE_Chile!D34</f>
        <v>0</v>
      </c>
      <c r="K68" s="1304"/>
      <c r="L68" s="1304"/>
      <c r="M68" s="1304"/>
      <c r="N68" s="1304"/>
      <c r="O68" s="1304"/>
      <c r="P68" s="1304"/>
      <c r="Q68" s="1304"/>
      <c r="R68" s="1304"/>
      <c r="S68" s="1304"/>
      <c r="T68" s="1304"/>
      <c r="U68" s="1304"/>
      <c r="V68" s="1304"/>
      <c r="W68" s="1304"/>
      <c r="X68" s="1304"/>
      <c r="Y68" s="1304"/>
      <c r="Z68" s="1304"/>
      <c r="AA68" s="1345">
        <f>CE_Chile!F69</f>
        <v>0.46700000000000003</v>
      </c>
      <c r="AB68" s="1346"/>
      <c r="AC68" s="1346"/>
      <c r="AD68" s="1348">
        <f>CE_Chile!H69</f>
        <v>0.47</v>
      </c>
      <c r="AE68" s="1314"/>
      <c r="AF68" s="1315"/>
    </row>
    <row r="69" spans="2:32" ht="33.75" customHeight="1" x14ac:dyDescent="0.2">
      <c r="B69" s="1358"/>
      <c r="C69" s="1321" t="s">
        <v>747</v>
      </c>
      <c r="D69" s="1321"/>
      <c r="E69" s="1321"/>
      <c r="F69" s="1321"/>
      <c r="G69" s="1321"/>
      <c r="H69" s="1303">
        <f>CE_Chile!D70</f>
        <v>0</v>
      </c>
      <c r="I69" s="1303"/>
      <c r="J69" s="1304">
        <f>CE_Chile!D35</f>
        <v>0</v>
      </c>
      <c r="K69" s="1304"/>
      <c r="L69" s="1304"/>
      <c r="M69" s="1304"/>
      <c r="N69" s="1304"/>
      <c r="O69" s="1304"/>
      <c r="P69" s="1304"/>
      <c r="Q69" s="1304"/>
      <c r="R69" s="1304"/>
      <c r="S69" s="1304"/>
      <c r="T69" s="1304"/>
      <c r="U69" s="1304"/>
      <c r="V69" s="1304"/>
      <c r="W69" s="1304"/>
      <c r="X69" s="1304"/>
      <c r="Y69" s="1304"/>
      <c r="Z69" s="1304"/>
      <c r="AA69" s="1345">
        <f>CE_Chile!F70</f>
        <v>0</v>
      </c>
      <c r="AB69" s="1346"/>
      <c r="AC69" s="1346"/>
      <c r="AD69" s="1348">
        <f>CE_Chile!H70</f>
        <v>0.47</v>
      </c>
      <c r="AE69" s="1314"/>
      <c r="AF69" s="1315"/>
    </row>
    <row r="70" spans="2:32" ht="35.25" customHeight="1" x14ac:dyDescent="0.2">
      <c r="B70" s="1358"/>
      <c r="C70" s="1321" t="s">
        <v>735</v>
      </c>
      <c r="D70" s="1321"/>
      <c r="E70" s="1321"/>
      <c r="F70" s="1321"/>
      <c r="G70" s="1321"/>
      <c r="H70" s="1303">
        <f>CE_Chile!D62</f>
        <v>23.57</v>
      </c>
      <c r="I70" s="1303"/>
      <c r="J70" s="1304">
        <f>CE_Chile!D36</f>
        <v>0</v>
      </c>
      <c r="K70" s="1304"/>
      <c r="L70" s="1304"/>
      <c r="M70" s="1304"/>
      <c r="N70" s="1304"/>
      <c r="O70" s="1304"/>
      <c r="P70" s="1304"/>
      <c r="Q70" s="1304"/>
      <c r="R70" s="1304"/>
      <c r="S70" s="1304"/>
      <c r="T70" s="1304"/>
      <c r="U70" s="1304"/>
      <c r="V70" s="1304"/>
      <c r="W70" s="1304"/>
      <c r="X70" s="1304"/>
      <c r="Y70" s="1304"/>
      <c r="Z70" s="1304"/>
      <c r="AA70" s="1345">
        <f>CE_Chile!F62</f>
        <v>5.8</v>
      </c>
      <c r="AB70" s="1346"/>
      <c r="AC70" s="1346"/>
      <c r="AD70" s="1313" t="s">
        <v>779</v>
      </c>
      <c r="AE70" s="1314"/>
      <c r="AF70" s="1315"/>
    </row>
    <row r="71" spans="2:32" ht="36" customHeight="1" thickBot="1" x14ac:dyDescent="0.25">
      <c r="B71" s="1359"/>
      <c r="C71" s="1319" t="s">
        <v>736</v>
      </c>
      <c r="D71" s="1319"/>
      <c r="E71" s="1319"/>
      <c r="F71" s="1319"/>
      <c r="G71" s="1319"/>
      <c r="H71" s="1297">
        <f>CE_Chile!D63</f>
        <v>0</v>
      </c>
      <c r="I71" s="1297"/>
      <c r="J71" s="1340">
        <f>CE_Chile!D37</f>
        <v>0</v>
      </c>
      <c r="K71" s="1340"/>
      <c r="L71" s="1340"/>
      <c r="M71" s="1340"/>
      <c r="N71" s="1340"/>
      <c r="O71" s="1340"/>
      <c r="P71" s="1340"/>
      <c r="Q71" s="1340"/>
      <c r="R71" s="1340"/>
      <c r="S71" s="1340"/>
      <c r="T71" s="1340"/>
      <c r="U71" s="1340"/>
      <c r="V71" s="1340"/>
      <c r="W71" s="1340"/>
      <c r="X71" s="1340"/>
      <c r="Y71" s="1340"/>
      <c r="Z71" s="1340"/>
      <c r="AA71" s="1387">
        <f>CE_Chile!F63</f>
        <v>0</v>
      </c>
      <c r="AB71" s="1388"/>
      <c r="AC71" s="1388"/>
      <c r="AD71" s="1316" t="s">
        <v>779</v>
      </c>
      <c r="AE71" s="1317"/>
      <c r="AF71" s="1318"/>
    </row>
    <row r="72" spans="2:32" ht="24" customHeight="1" thickBot="1" x14ac:dyDescent="0.25"/>
    <row r="73" spans="2:32" x14ac:dyDescent="0.2">
      <c r="B73" s="1330" t="s">
        <v>756</v>
      </c>
      <c r="C73" s="1306" t="s">
        <v>755</v>
      </c>
      <c r="D73" s="1307"/>
      <c r="E73" s="1307"/>
      <c r="F73" s="1307"/>
      <c r="G73" s="1333"/>
      <c r="H73" s="1306" t="s">
        <v>754</v>
      </c>
      <c r="I73" s="1307"/>
      <c r="J73" s="1307"/>
      <c r="K73" s="1307"/>
      <c r="L73" s="1307"/>
      <c r="M73" s="1307"/>
      <c r="N73" s="1307"/>
      <c r="O73" s="1307"/>
      <c r="P73" s="1307"/>
      <c r="Q73" s="1307"/>
      <c r="R73" s="1307"/>
      <c r="S73" s="1307"/>
      <c r="T73" s="1307"/>
      <c r="U73" s="1307"/>
      <c r="V73" s="1307"/>
      <c r="W73" s="1307"/>
      <c r="X73" s="1307"/>
      <c r="Y73" s="1307"/>
      <c r="Z73" s="1307"/>
      <c r="AA73" s="1307"/>
      <c r="AB73" s="1307"/>
      <c r="AC73" s="1307"/>
      <c r="AD73" s="1307"/>
      <c r="AE73" s="1307"/>
      <c r="AF73" s="1308"/>
    </row>
    <row r="74" spans="2:32" ht="48.75" customHeight="1" x14ac:dyDescent="0.2">
      <c r="B74" s="1331"/>
      <c r="C74" s="1334" t="s">
        <v>655</v>
      </c>
      <c r="D74" s="1335"/>
      <c r="E74" s="1335"/>
      <c r="F74" s="1335"/>
      <c r="G74" s="1336"/>
      <c r="H74" s="1309">
        <f>CE_Chile!E41</f>
        <v>0</v>
      </c>
      <c r="I74" s="1310"/>
      <c r="J74" s="1310"/>
      <c r="K74" s="1310"/>
      <c r="L74" s="1310"/>
      <c r="M74" s="1310"/>
      <c r="N74" s="1310"/>
      <c r="O74" s="1310"/>
      <c r="P74" s="1310"/>
      <c r="Q74" s="1310"/>
      <c r="R74" s="1310"/>
      <c r="S74" s="1310"/>
      <c r="T74" s="1310"/>
      <c r="U74" s="1310"/>
      <c r="V74" s="1310"/>
      <c r="W74" s="1310"/>
      <c r="X74" s="1310"/>
      <c r="Y74" s="1310"/>
      <c r="Z74" s="1310"/>
      <c r="AA74" s="1310"/>
      <c r="AB74" s="1310"/>
      <c r="AC74" s="1310"/>
      <c r="AD74" s="1310"/>
      <c r="AE74" s="1310"/>
      <c r="AF74" s="1311"/>
    </row>
    <row r="75" spans="2:32" ht="50.25" customHeight="1" thickBot="1" x14ac:dyDescent="0.25">
      <c r="B75" s="1332"/>
      <c r="C75" s="1337" t="s">
        <v>659</v>
      </c>
      <c r="D75" s="1338"/>
      <c r="E75" s="1338"/>
      <c r="F75" s="1338"/>
      <c r="G75" s="1339"/>
      <c r="H75" s="1300">
        <f>CE_Chile!E42</f>
        <v>0</v>
      </c>
      <c r="I75" s="1301"/>
      <c r="J75" s="1301"/>
      <c r="K75" s="1301"/>
      <c r="L75" s="1301"/>
      <c r="M75" s="1301"/>
      <c r="N75" s="1301"/>
      <c r="O75" s="1301"/>
      <c r="P75" s="1301"/>
      <c r="Q75" s="1301"/>
      <c r="R75" s="1301"/>
      <c r="S75" s="1301"/>
      <c r="T75" s="1301"/>
      <c r="U75" s="1301"/>
      <c r="V75" s="1301"/>
      <c r="W75" s="1301"/>
      <c r="X75" s="1301"/>
      <c r="Y75" s="1301"/>
      <c r="Z75" s="1301"/>
      <c r="AA75" s="1301"/>
      <c r="AB75" s="1301"/>
      <c r="AC75" s="1301"/>
      <c r="AD75" s="1301"/>
      <c r="AE75" s="1301"/>
      <c r="AF75" s="1302"/>
    </row>
    <row r="77" spans="2:32" ht="15.75" x14ac:dyDescent="0.25">
      <c r="B77" s="86" t="s">
        <v>758</v>
      </c>
      <c r="C77" s="86"/>
      <c r="D77" s="86"/>
      <c r="E77" s="86"/>
      <c r="F77" s="86"/>
      <c r="G77" s="86"/>
      <c r="H77" s="86"/>
      <c r="I77" s="86"/>
      <c r="J77" s="86"/>
      <c r="K77" s="86"/>
      <c r="L77" s="86"/>
      <c r="M77" s="86"/>
      <c r="N77" s="86"/>
      <c r="O77" s="86"/>
      <c r="P77" s="86"/>
      <c r="Q77" s="86"/>
      <c r="R77" s="86"/>
      <c r="S77" s="86"/>
      <c r="T77" s="86"/>
      <c r="U77" s="86"/>
      <c r="V77" s="86"/>
      <c r="W77" s="86"/>
      <c r="X77" s="86"/>
      <c r="Y77" s="86"/>
      <c r="Z77" s="86" t="s">
        <v>723</v>
      </c>
      <c r="AA77" s="86"/>
      <c r="AB77" s="86"/>
      <c r="AC77" s="86"/>
      <c r="AD77" s="86"/>
      <c r="AE77" s="1312">
        <f>'R1'!J2</f>
        <v>3</v>
      </c>
      <c r="AF77" s="1312"/>
    </row>
    <row r="79" spans="2:32" x14ac:dyDescent="0.2">
      <c r="O79" s="1298" t="s">
        <v>803</v>
      </c>
      <c r="P79" s="1299"/>
      <c r="Q79" s="1299"/>
      <c r="R79" s="1299"/>
      <c r="S79" s="1299"/>
      <c r="T79" s="1299"/>
      <c r="U79" s="1299"/>
      <c r="V79" s="1299"/>
      <c r="W79" s="1299"/>
      <c r="X79" s="1299"/>
      <c r="Y79" s="1299"/>
      <c r="Z79" s="1299"/>
      <c r="AA79" s="1299"/>
      <c r="AB79" s="1299"/>
      <c r="AC79" s="1299"/>
      <c r="AD79" s="1299"/>
      <c r="AE79" s="1299"/>
      <c r="AF79" s="1299"/>
    </row>
    <row r="80" spans="2:32" x14ac:dyDescent="0.2">
      <c r="O80" s="1299"/>
      <c r="P80" s="1299"/>
      <c r="Q80" s="1299"/>
      <c r="R80" s="1299"/>
      <c r="S80" s="1299"/>
      <c r="T80" s="1299"/>
      <c r="U80" s="1299"/>
      <c r="V80" s="1299"/>
      <c r="W80" s="1299"/>
      <c r="X80" s="1299"/>
      <c r="Y80" s="1299"/>
      <c r="Z80" s="1299"/>
      <c r="AA80" s="1299"/>
      <c r="AB80" s="1299"/>
      <c r="AC80" s="1299"/>
      <c r="AD80" s="1299"/>
      <c r="AE80" s="1299"/>
      <c r="AF80" s="1299"/>
    </row>
    <row r="81" spans="2:32" x14ac:dyDescent="0.2">
      <c r="O81" s="1299"/>
      <c r="P81" s="1299"/>
      <c r="Q81" s="1299"/>
      <c r="R81" s="1299"/>
      <c r="S81" s="1299"/>
      <c r="T81" s="1299"/>
      <c r="U81" s="1299"/>
      <c r="V81" s="1299"/>
      <c r="W81" s="1299"/>
      <c r="X81" s="1299"/>
      <c r="Y81" s="1299"/>
      <c r="Z81" s="1299"/>
      <c r="AA81" s="1299"/>
      <c r="AB81" s="1299"/>
      <c r="AC81" s="1299"/>
      <c r="AD81" s="1299"/>
      <c r="AE81" s="1299"/>
      <c r="AF81" s="1299"/>
    </row>
    <row r="82" spans="2:32" x14ac:dyDescent="0.2">
      <c r="O82" s="1299"/>
      <c r="P82" s="1299"/>
      <c r="Q82" s="1299"/>
      <c r="R82" s="1299"/>
      <c r="S82" s="1299"/>
      <c r="T82" s="1299"/>
      <c r="U82" s="1299"/>
      <c r="V82" s="1299"/>
      <c r="W82" s="1299"/>
      <c r="X82" s="1299"/>
      <c r="Y82" s="1299"/>
      <c r="Z82" s="1299"/>
      <c r="AA82" s="1299"/>
      <c r="AB82" s="1299"/>
      <c r="AC82" s="1299"/>
      <c r="AD82" s="1299"/>
      <c r="AE82" s="1299"/>
      <c r="AF82" s="1299"/>
    </row>
    <row r="83" spans="2:32" x14ac:dyDescent="0.2">
      <c r="O83" s="1299"/>
      <c r="P83" s="1299"/>
      <c r="Q83" s="1299"/>
      <c r="R83" s="1299"/>
      <c r="S83" s="1299"/>
      <c r="T83" s="1299"/>
      <c r="U83" s="1299"/>
      <c r="V83" s="1299"/>
      <c r="W83" s="1299"/>
      <c r="X83" s="1299"/>
      <c r="Y83" s="1299"/>
      <c r="Z83" s="1299"/>
      <c r="AA83" s="1299"/>
      <c r="AB83" s="1299"/>
      <c r="AC83" s="1299"/>
      <c r="AD83" s="1299"/>
      <c r="AE83" s="1299"/>
      <c r="AF83" s="1299"/>
    </row>
    <row r="84" spans="2:32" x14ac:dyDescent="0.2">
      <c r="O84" s="1299"/>
      <c r="P84" s="1299"/>
      <c r="Q84" s="1299"/>
      <c r="R84" s="1299"/>
      <c r="S84" s="1299"/>
      <c r="T84" s="1299"/>
      <c r="U84" s="1299"/>
      <c r="V84" s="1299"/>
      <c r="W84" s="1299"/>
      <c r="X84" s="1299"/>
      <c r="Y84" s="1299"/>
      <c r="Z84" s="1299"/>
      <c r="AA84" s="1299"/>
      <c r="AB84" s="1299"/>
      <c r="AC84" s="1299"/>
      <c r="AD84" s="1299"/>
      <c r="AE84" s="1299"/>
      <c r="AF84" s="1299"/>
    </row>
    <row r="85" spans="2:32" x14ac:dyDescent="0.2">
      <c r="O85" s="1299"/>
      <c r="P85" s="1299"/>
      <c r="Q85" s="1299"/>
      <c r="R85" s="1299"/>
      <c r="S85" s="1299"/>
      <c r="T85" s="1299"/>
      <c r="U85" s="1299"/>
      <c r="V85" s="1299"/>
      <c r="W85" s="1299"/>
      <c r="X85" s="1299"/>
      <c r="Y85" s="1299"/>
      <c r="Z85" s="1299"/>
      <c r="AA85" s="1299"/>
      <c r="AB85" s="1299"/>
      <c r="AC85" s="1299"/>
      <c r="AD85" s="1299"/>
      <c r="AE85" s="1299"/>
      <c r="AF85" s="1299"/>
    </row>
    <row r="86" spans="2:32" ht="21.75" customHeight="1" x14ac:dyDescent="0.2">
      <c r="O86" s="1299"/>
      <c r="P86" s="1299"/>
      <c r="Q86" s="1299"/>
      <c r="R86" s="1299"/>
      <c r="S86" s="1299"/>
      <c r="T86" s="1299"/>
      <c r="U86" s="1299"/>
      <c r="V86" s="1299"/>
      <c r="W86" s="1299"/>
      <c r="X86" s="1299"/>
      <c r="Y86" s="1299"/>
      <c r="Z86" s="1299"/>
      <c r="AA86" s="1299"/>
      <c r="AB86" s="1299"/>
      <c r="AC86" s="1299"/>
      <c r="AD86" s="1299"/>
      <c r="AE86" s="1299"/>
      <c r="AF86" s="1299"/>
    </row>
    <row r="87" spans="2:32" ht="30" customHeight="1" x14ac:dyDescent="0.2"/>
    <row r="88" spans="2:32" ht="38.25" customHeight="1" x14ac:dyDescent="0.2">
      <c r="B88" s="149"/>
      <c r="C88" s="149"/>
      <c r="D88" s="149"/>
      <c r="E88" s="149"/>
      <c r="F88" s="149"/>
      <c r="G88" s="149"/>
      <c r="H88" s="149"/>
      <c r="I88" s="149"/>
      <c r="J88" s="149"/>
      <c r="K88" s="149"/>
      <c r="L88" s="149"/>
      <c r="M88" s="149"/>
      <c r="N88" s="149"/>
      <c r="O88" s="149"/>
      <c r="P88" s="149"/>
      <c r="Q88" s="149"/>
      <c r="R88" s="140" t="s">
        <v>731</v>
      </c>
      <c r="S88" s="149"/>
      <c r="T88" s="149"/>
      <c r="U88" s="149"/>
      <c r="V88" s="149"/>
      <c r="W88" s="149"/>
      <c r="X88" s="140"/>
      <c r="Y88" s="140">
        <f>CE_Chile!G$19</f>
        <v>0</v>
      </c>
      <c r="Z88" s="149"/>
      <c r="AA88" s="149"/>
      <c r="AB88" s="149"/>
      <c r="AC88" s="149"/>
      <c r="AD88" s="149"/>
      <c r="AE88" s="1295">
        <f>Inicio!U4</f>
        <v>1</v>
      </c>
      <c r="AF88" s="1295"/>
    </row>
    <row r="89" spans="2:32" ht="14.25" customHeight="1" x14ac:dyDescent="0.2">
      <c r="B89" s="149"/>
      <c r="C89" s="149"/>
      <c r="D89" s="149"/>
      <c r="E89" s="149"/>
      <c r="F89" s="149"/>
      <c r="G89" s="149"/>
      <c r="H89" s="149"/>
      <c r="I89" s="149"/>
      <c r="J89" s="149"/>
      <c r="K89" s="149"/>
      <c r="L89" s="149"/>
      <c r="M89" s="149"/>
      <c r="N89" s="149"/>
      <c r="O89" s="149"/>
      <c r="P89" s="149"/>
      <c r="Q89" s="149"/>
      <c r="R89" s="140" t="s">
        <v>778</v>
      </c>
      <c r="S89" s="149"/>
      <c r="T89" s="149"/>
      <c r="U89" s="149"/>
      <c r="V89" s="149"/>
      <c r="W89" s="149"/>
      <c r="X89" s="149"/>
      <c r="Y89" s="140">
        <f>CE_Chile!G$20</f>
        <v>0</v>
      </c>
      <c r="Z89" s="149"/>
      <c r="AA89" s="149"/>
      <c r="AB89" s="149"/>
      <c r="AC89" s="149"/>
      <c r="AD89" s="149"/>
      <c r="AE89" s="149"/>
      <c r="AF89" s="149"/>
    </row>
    <row r="90" spans="2:32" ht="89.25" customHeight="1" x14ac:dyDescent="0.2"/>
    <row r="91" spans="2:32" x14ac:dyDescent="0.2">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row>
    <row r="92" spans="2:32" ht="19.5" customHeight="1" x14ac:dyDescent="0.3">
      <c r="B92" s="425" t="s">
        <v>804</v>
      </c>
      <c r="C92" s="323"/>
      <c r="D92" s="323"/>
      <c r="E92" s="323"/>
      <c r="F92" s="323"/>
      <c r="G92" s="323"/>
      <c r="H92" s="323"/>
      <c r="I92" s="323"/>
      <c r="J92" s="323"/>
      <c r="K92" s="323"/>
      <c r="L92" s="323"/>
      <c r="M92" s="323"/>
      <c r="N92" s="323"/>
      <c r="O92" s="323"/>
      <c r="P92" s="323"/>
      <c r="Q92" s="323"/>
      <c r="R92" s="323"/>
      <c r="S92" s="323"/>
      <c r="T92" s="323"/>
      <c r="U92" s="323"/>
      <c r="V92" s="323"/>
      <c r="W92" s="323"/>
      <c r="X92" s="323"/>
      <c r="Y92" s="323"/>
      <c r="Z92" s="323"/>
      <c r="AA92" s="323"/>
      <c r="AB92" s="323"/>
      <c r="AC92" s="323"/>
      <c r="AD92" s="323"/>
      <c r="AE92" s="323"/>
      <c r="AF92" s="323"/>
    </row>
    <row r="93" spans="2:32" ht="24" customHeight="1" x14ac:dyDescent="0.25">
      <c r="B93" s="317" t="str">
        <f>'R1'!C102</f>
        <v>Calificación Energética</v>
      </c>
      <c r="C93" s="86"/>
      <c r="D93" s="86"/>
      <c r="E93" s="86"/>
      <c r="F93" s="86"/>
      <c r="G93" s="86"/>
      <c r="H93" s="86"/>
      <c r="I93" s="86"/>
      <c r="J93" s="86"/>
      <c r="K93" s="86"/>
      <c r="L93" s="86"/>
      <c r="M93" s="86"/>
      <c r="N93" s="86"/>
      <c r="O93" s="86"/>
      <c r="P93" s="86"/>
      <c r="Q93" s="86"/>
      <c r="R93" s="140" t="s">
        <v>789</v>
      </c>
      <c r="S93" s="86"/>
      <c r="T93" s="86"/>
      <c r="U93" s="86"/>
      <c r="V93" s="86"/>
      <c r="W93" s="86"/>
      <c r="X93" s="86"/>
      <c r="Y93" s="1378">
        <f>CE_Chile!G24</f>
        <v>0</v>
      </c>
      <c r="Z93" s="1379"/>
      <c r="AA93" s="1379"/>
      <c r="AB93" s="86"/>
      <c r="AC93" s="86"/>
      <c r="AD93" s="86"/>
      <c r="AE93" s="86"/>
      <c r="AF93" s="86"/>
    </row>
    <row r="95" spans="2:32" ht="15.75" x14ac:dyDescent="0.25">
      <c r="B95" s="86" t="s">
        <v>766</v>
      </c>
      <c r="C95" s="86"/>
      <c r="D95" s="86"/>
      <c r="E95" s="8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row>
    <row r="96" spans="2:32" ht="8.25" customHeight="1" x14ac:dyDescent="0.2"/>
    <row r="97" spans="2:32" ht="51.75" customHeight="1" x14ac:dyDescent="0.2">
      <c r="C97" s="1227" t="s">
        <v>246</v>
      </c>
      <c r="D97" s="1227"/>
      <c r="E97" s="1227"/>
      <c r="F97" s="1227"/>
      <c r="G97" s="1227"/>
      <c r="H97" s="1227"/>
      <c r="I97" s="1227"/>
      <c r="J97" s="1227"/>
      <c r="K97" s="1227"/>
      <c r="L97" s="1227"/>
      <c r="M97" s="1227"/>
      <c r="N97" s="1227"/>
      <c r="O97" s="1227"/>
      <c r="P97" s="1227"/>
      <c r="Q97" s="1227"/>
      <c r="R97" s="1227"/>
      <c r="S97" s="1227"/>
      <c r="T97" s="1227"/>
      <c r="U97" s="1227"/>
      <c r="V97" s="1227"/>
      <c r="W97" s="1227"/>
      <c r="X97" s="1227"/>
      <c r="Y97" s="1227"/>
      <c r="Z97" s="1227"/>
      <c r="AA97" s="1227"/>
      <c r="AB97" s="1227"/>
      <c r="AC97" s="1227"/>
      <c r="AD97" s="1227"/>
      <c r="AE97" s="1227"/>
    </row>
    <row r="98" spans="2:32" ht="6.75" customHeight="1" x14ac:dyDescent="0.2"/>
    <row r="99" spans="2:32" x14ac:dyDescent="0.2">
      <c r="C99" s="1" t="s">
        <v>767</v>
      </c>
      <c r="R99" s="1" t="s">
        <v>788</v>
      </c>
    </row>
    <row r="100" spans="2:32" x14ac:dyDescent="0.2">
      <c r="C100" t="s">
        <v>769</v>
      </c>
      <c r="H100">
        <f>CE_Chile!G19</f>
        <v>0</v>
      </c>
      <c r="R100" t="s">
        <v>770</v>
      </c>
    </row>
    <row r="101" spans="2:32" x14ac:dyDescent="0.2">
      <c r="C101" t="s">
        <v>768</v>
      </c>
      <c r="H101">
        <f>CE_Chile!G20</f>
        <v>0</v>
      </c>
      <c r="R101" t="s">
        <v>773</v>
      </c>
    </row>
    <row r="102" spans="2:32" x14ac:dyDescent="0.2">
      <c r="R102" t="s">
        <v>772</v>
      </c>
    </row>
    <row r="103" spans="2:32" x14ac:dyDescent="0.2">
      <c r="R103" t="s">
        <v>771</v>
      </c>
    </row>
    <row r="104" spans="2:32" ht="6.75" customHeight="1" x14ac:dyDescent="0.2"/>
    <row r="105" spans="2:32" ht="15.75" x14ac:dyDescent="0.25">
      <c r="B105" s="86" t="s">
        <v>774</v>
      </c>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row>
    <row r="106" spans="2:32" ht="9" customHeight="1" x14ac:dyDescent="0.2"/>
    <row r="107" spans="2:32" ht="37.5" customHeight="1" x14ac:dyDescent="0.2">
      <c r="C107" s="1296" t="s">
        <v>775</v>
      </c>
      <c r="D107" s="1296"/>
      <c r="E107" s="1296"/>
      <c r="F107" s="1296"/>
      <c r="G107" s="1296"/>
      <c r="H107" s="1296"/>
      <c r="I107" s="1296"/>
      <c r="J107" s="1296"/>
      <c r="K107" s="1296"/>
      <c r="L107" s="1296"/>
      <c r="M107" s="1296"/>
      <c r="N107" s="1296"/>
      <c r="O107" s="1296"/>
      <c r="P107" s="1296"/>
      <c r="Q107" s="1296"/>
      <c r="R107" s="1296"/>
      <c r="S107" s="1296"/>
      <c r="T107" s="1296"/>
      <c r="U107" s="1296"/>
      <c r="V107" s="1296"/>
      <c r="W107" s="1296"/>
      <c r="X107" s="1296"/>
      <c r="Y107" s="1296"/>
      <c r="Z107" s="1296"/>
      <c r="AA107" s="1296"/>
      <c r="AB107" s="1296"/>
      <c r="AC107" s="1296"/>
      <c r="AD107" s="1296"/>
      <c r="AE107" s="1296"/>
    </row>
    <row r="108" spans="2:32" ht="41.25" customHeight="1" x14ac:dyDescent="0.2">
      <c r="C108" s="1296" t="s">
        <v>776</v>
      </c>
      <c r="D108" s="1296"/>
      <c r="E108" s="1296"/>
      <c r="F108" s="1296"/>
      <c r="G108" s="1296"/>
      <c r="H108" s="1296"/>
      <c r="I108" s="1296"/>
      <c r="J108" s="1296"/>
      <c r="K108" s="1296"/>
      <c r="L108" s="1296"/>
      <c r="M108" s="1296"/>
      <c r="N108" s="1296"/>
      <c r="O108" s="1296"/>
      <c r="P108" s="1296"/>
      <c r="Q108" s="1296"/>
      <c r="R108" s="1296"/>
      <c r="S108" s="1296"/>
      <c r="T108" s="1296"/>
      <c r="U108" s="1296"/>
      <c r="V108" s="1296"/>
      <c r="W108" s="1296"/>
      <c r="X108" s="1296"/>
      <c r="Y108" s="1296"/>
      <c r="Z108" s="1296"/>
      <c r="AA108" s="1296"/>
      <c r="AB108" s="1296"/>
      <c r="AC108" s="1296"/>
      <c r="AD108" s="1296"/>
      <c r="AE108" s="1296"/>
    </row>
    <row r="109" spans="2:32" ht="38.25" customHeight="1" x14ac:dyDescent="0.2">
      <c r="C109" s="1296" t="s">
        <v>777</v>
      </c>
      <c r="D109" s="1296"/>
      <c r="E109" s="1296"/>
      <c r="F109" s="1296"/>
      <c r="G109" s="1296"/>
      <c r="H109" s="1296"/>
      <c r="I109" s="1296"/>
      <c r="J109" s="1296"/>
      <c r="K109" s="1296"/>
      <c r="L109" s="1296"/>
      <c r="M109" s="1296"/>
      <c r="N109" s="1296"/>
      <c r="O109" s="1296"/>
      <c r="P109" s="1296"/>
      <c r="Q109" s="1296"/>
      <c r="R109" s="1296"/>
      <c r="S109" s="1296"/>
      <c r="T109" s="1296"/>
      <c r="U109" s="1296"/>
      <c r="V109" s="1296"/>
      <c r="W109" s="1296"/>
      <c r="X109" s="1296"/>
      <c r="Y109" s="1296"/>
      <c r="Z109" s="1296"/>
      <c r="AA109" s="1296"/>
      <c r="AB109" s="1296"/>
      <c r="AC109" s="1296"/>
      <c r="AD109" s="1296"/>
      <c r="AE109" s="1296"/>
    </row>
    <row r="110" spans="2:32" ht="83.25" customHeight="1" x14ac:dyDescent="0.2">
      <c r="C110" s="1296" t="s">
        <v>247</v>
      </c>
      <c r="D110" s="1296"/>
      <c r="E110" s="1296"/>
      <c r="F110" s="1296"/>
      <c r="G110" s="1296"/>
      <c r="H110" s="1296"/>
      <c r="I110" s="1296"/>
      <c r="J110" s="1296"/>
      <c r="K110" s="1296"/>
      <c r="L110" s="1296"/>
      <c r="M110" s="1296"/>
      <c r="N110" s="1296"/>
      <c r="O110" s="1296"/>
      <c r="P110" s="1296"/>
      <c r="Q110" s="1296"/>
      <c r="R110" s="1296"/>
      <c r="S110" s="1296"/>
      <c r="T110" s="1296"/>
      <c r="U110" s="1296"/>
      <c r="V110" s="1296"/>
      <c r="W110" s="1296"/>
      <c r="X110" s="1296"/>
      <c r="Y110" s="1296"/>
      <c r="Z110" s="1296"/>
      <c r="AA110" s="1296"/>
      <c r="AB110" s="1296"/>
      <c r="AC110" s="1296"/>
      <c r="AD110" s="1296"/>
      <c r="AE110" s="1296"/>
    </row>
    <row r="111" spans="2:32" ht="39" customHeight="1" x14ac:dyDescent="0.2">
      <c r="C111" s="1296" t="s">
        <v>239</v>
      </c>
      <c r="D111" s="1296"/>
      <c r="E111" s="1296"/>
      <c r="F111" s="1296"/>
      <c r="G111" s="1296"/>
      <c r="H111" s="1296"/>
      <c r="I111" s="1296"/>
      <c r="J111" s="1296"/>
      <c r="K111" s="1296"/>
      <c r="L111" s="1296"/>
      <c r="M111" s="1296"/>
      <c r="N111" s="1296"/>
      <c r="O111" s="1296"/>
      <c r="P111" s="1296"/>
      <c r="Q111" s="1296"/>
      <c r="R111" s="1296"/>
      <c r="S111" s="1296"/>
      <c r="T111" s="1296"/>
      <c r="U111" s="1296"/>
      <c r="V111" s="1296"/>
      <c r="W111" s="1296"/>
      <c r="X111" s="1296"/>
      <c r="Y111" s="1296"/>
      <c r="Z111" s="1296"/>
      <c r="AA111" s="1296"/>
      <c r="AB111" s="1296"/>
      <c r="AC111" s="1296"/>
      <c r="AD111" s="1296"/>
      <c r="AE111" s="1296"/>
    </row>
    <row r="112" spans="2:32" ht="28.5" customHeight="1" x14ac:dyDescent="0.2">
      <c r="C112" s="1296" t="s">
        <v>240</v>
      </c>
      <c r="D112" s="1296"/>
      <c r="E112" s="1296"/>
      <c r="F112" s="1296"/>
      <c r="G112" s="1296"/>
      <c r="H112" s="1296"/>
      <c r="I112" s="1296"/>
      <c r="J112" s="1296"/>
      <c r="K112" s="1296"/>
      <c r="L112" s="1296"/>
      <c r="M112" s="1296"/>
      <c r="N112" s="1296"/>
      <c r="O112" s="1296"/>
      <c r="P112" s="1296"/>
      <c r="Q112" s="1296"/>
      <c r="R112" s="1296"/>
      <c r="S112" s="1296"/>
      <c r="T112" s="1296"/>
      <c r="U112" s="1296"/>
      <c r="V112" s="1296"/>
      <c r="W112" s="1296"/>
      <c r="X112" s="1296"/>
      <c r="Y112" s="1296"/>
      <c r="Z112" s="1296"/>
      <c r="AA112" s="1296"/>
      <c r="AB112" s="1296"/>
      <c r="AC112" s="1296"/>
      <c r="AD112" s="1296"/>
      <c r="AE112" s="1296"/>
    </row>
    <row r="113" spans="2:32" ht="27" customHeight="1" x14ac:dyDescent="0.2">
      <c r="C113" s="1296" t="s">
        <v>241</v>
      </c>
      <c r="D113" s="1296"/>
      <c r="E113" s="1296"/>
      <c r="F113" s="1296"/>
      <c r="G113" s="1296"/>
      <c r="H113" s="1296"/>
      <c r="I113" s="1296"/>
      <c r="J113" s="1296"/>
      <c r="K113" s="1296"/>
      <c r="L113" s="1296"/>
      <c r="M113" s="1296"/>
      <c r="N113" s="1296"/>
      <c r="O113" s="1296"/>
      <c r="P113" s="1296"/>
      <c r="Q113" s="1296"/>
      <c r="R113" s="1296"/>
      <c r="S113" s="1296"/>
      <c r="T113" s="1296"/>
      <c r="U113" s="1296"/>
      <c r="V113" s="1296"/>
      <c r="W113" s="1296"/>
      <c r="X113" s="1296"/>
      <c r="Y113" s="1296"/>
      <c r="Z113" s="1296"/>
      <c r="AA113" s="1296"/>
      <c r="AB113" s="1296"/>
      <c r="AC113" s="1296"/>
      <c r="AD113" s="1296"/>
      <c r="AE113" s="1296"/>
    </row>
    <row r="114" spans="2:32" ht="41.25" customHeight="1" x14ac:dyDescent="0.2">
      <c r="C114" s="1296" t="s">
        <v>248</v>
      </c>
      <c r="D114" s="1296"/>
      <c r="E114" s="1296"/>
      <c r="F114" s="1296"/>
      <c r="G114" s="1296"/>
      <c r="H114" s="1296"/>
      <c r="I114" s="1296"/>
      <c r="J114" s="1296"/>
      <c r="K114" s="1296"/>
      <c r="L114" s="1296"/>
      <c r="M114" s="1296"/>
      <c r="N114" s="1296"/>
      <c r="O114" s="1296"/>
      <c r="P114" s="1296"/>
      <c r="Q114" s="1296"/>
      <c r="R114" s="1296"/>
      <c r="S114" s="1296"/>
      <c r="T114" s="1296"/>
      <c r="U114" s="1296"/>
      <c r="V114" s="1296"/>
      <c r="W114" s="1296"/>
      <c r="X114" s="1296"/>
      <c r="Y114" s="1296"/>
      <c r="Z114" s="1296"/>
      <c r="AA114" s="1296"/>
      <c r="AB114" s="1296"/>
      <c r="AC114" s="1296"/>
      <c r="AD114" s="1296"/>
      <c r="AE114" s="1296"/>
    </row>
    <row r="115" spans="2:32" ht="73.5" customHeight="1" x14ac:dyDescent="0.2">
      <c r="C115" s="1296" t="s">
        <v>242</v>
      </c>
      <c r="D115" s="1296"/>
      <c r="E115" s="1296"/>
      <c r="F115" s="1296"/>
      <c r="G115" s="1296"/>
      <c r="H115" s="1296"/>
      <c r="I115" s="1296"/>
      <c r="J115" s="1296"/>
      <c r="K115" s="1296"/>
      <c r="L115" s="1296"/>
      <c r="M115" s="1296"/>
      <c r="N115" s="1296"/>
      <c r="O115" s="1296"/>
      <c r="P115" s="1296"/>
      <c r="Q115" s="1296"/>
      <c r="R115" s="1296"/>
      <c r="S115" s="1296"/>
      <c r="T115" s="1296"/>
      <c r="U115" s="1296"/>
      <c r="V115" s="1296"/>
      <c r="W115" s="1296"/>
      <c r="X115" s="1296"/>
      <c r="Y115" s="1296"/>
      <c r="Z115" s="1296"/>
      <c r="AA115" s="1296"/>
      <c r="AB115" s="1296"/>
      <c r="AC115" s="1296"/>
      <c r="AD115" s="1296"/>
      <c r="AE115" s="1296"/>
    </row>
    <row r="116" spans="2:32" ht="36" customHeight="1" x14ac:dyDescent="0.2">
      <c r="C116" s="1296" t="s">
        <v>243</v>
      </c>
      <c r="D116" s="1296"/>
      <c r="E116" s="1296"/>
      <c r="F116" s="1296"/>
      <c r="G116" s="1296"/>
      <c r="H116" s="1296"/>
      <c r="I116" s="1296"/>
      <c r="J116" s="1296"/>
      <c r="K116" s="1296"/>
      <c r="L116" s="1296"/>
      <c r="M116" s="1296"/>
      <c r="N116" s="1296"/>
      <c r="O116" s="1296"/>
      <c r="P116" s="1296"/>
      <c r="Q116" s="1296"/>
      <c r="R116" s="1296"/>
      <c r="S116" s="1296"/>
      <c r="T116" s="1296"/>
      <c r="U116" s="1296"/>
      <c r="V116" s="1296"/>
      <c r="W116" s="1296"/>
      <c r="X116" s="1296"/>
      <c r="Y116" s="1296"/>
      <c r="Z116" s="1296"/>
      <c r="AA116" s="1296"/>
      <c r="AB116" s="1296"/>
      <c r="AC116" s="1296"/>
      <c r="AD116" s="1296"/>
      <c r="AE116" s="1296"/>
      <c r="AF116" s="1296"/>
    </row>
    <row r="117" spans="2:32" ht="9" customHeight="1" x14ac:dyDescent="0.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row>
    <row r="118" spans="2:32" ht="15.75" x14ac:dyDescent="0.25">
      <c r="B118" s="86" t="s">
        <v>253</v>
      </c>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row>
    <row r="119" spans="2:32" ht="9" customHeight="1" x14ac:dyDescent="0.2"/>
    <row r="120" spans="2:32" ht="49.5" customHeight="1" x14ac:dyDescent="0.2">
      <c r="C120" s="1227" t="s">
        <v>254</v>
      </c>
      <c r="D120" s="1227"/>
      <c r="E120" s="1227"/>
      <c r="F120" s="1227"/>
      <c r="G120" s="1227"/>
      <c r="H120" s="1227"/>
      <c r="I120" s="1227"/>
      <c r="J120" s="1227"/>
      <c r="K120" s="1227"/>
      <c r="L120" s="1227"/>
      <c r="M120" s="1227"/>
      <c r="N120" s="1227"/>
      <c r="O120" s="1227"/>
      <c r="P120" s="1227"/>
      <c r="Q120" s="1227"/>
      <c r="R120" s="1227"/>
      <c r="S120" s="1227"/>
      <c r="T120" s="1227"/>
      <c r="U120" s="1227"/>
      <c r="V120" s="1227"/>
      <c r="W120" s="1227"/>
      <c r="X120" s="1227"/>
      <c r="Y120" s="1227"/>
      <c r="Z120" s="1227"/>
      <c r="AA120" s="1227"/>
      <c r="AB120" s="1227"/>
      <c r="AC120" s="1227"/>
      <c r="AD120" s="1227"/>
      <c r="AE120" s="1227"/>
    </row>
    <row r="121" spans="2:32" ht="38.25" customHeight="1" x14ac:dyDescent="0.2">
      <c r="B121" s="149"/>
      <c r="C121" s="149"/>
      <c r="D121" s="149"/>
      <c r="E121" s="149"/>
      <c r="F121" s="149"/>
      <c r="G121" s="149"/>
      <c r="H121" s="149"/>
      <c r="I121" s="149"/>
      <c r="J121" s="149"/>
      <c r="K121" s="149"/>
      <c r="L121" s="149"/>
      <c r="M121" s="149"/>
      <c r="N121" s="149"/>
      <c r="O121" s="149"/>
      <c r="P121" s="149"/>
      <c r="Q121" s="149"/>
      <c r="R121" s="140" t="s">
        <v>731</v>
      </c>
      <c r="S121" s="149"/>
      <c r="T121" s="149"/>
      <c r="U121" s="149"/>
      <c r="V121" s="149"/>
      <c r="W121" s="149"/>
      <c r="X121" s="140"/>
      <c r="Y121" s="140">
        <f>CE_Chile!G$19</f>
        <v>0</v>
      </c>
      <c r="Z121" s="149"/>
      <c r="AA121" s="149"/>
      <c r="AB121" s="149"/>
      <c r="AC121" s="149"/>
      <c r="AD121" s="149"/>
      <c r="AE121" s="1295">
        <f>Inicio!U4</f>
        <v>1</v>
      </c>
      <c r="AF121" s="1295"/>
    </row>
    <row r="122" spans="2:32" ht="14.25" customHeight="1" x14ac:dyDescent="0.2">
      <c r="B122" s="149"/>
      <c r="C122" s="149"/>
      <c r="D122" s="149"/>
      <c r="E122" s="149"/>
      <c r="F122" s="149"/>
      <c r="G122" s="149"/>
      <c r="H122" s="149"/>
      <c r="I122" s="149"/>
      <c r="J122" s="149"/>
      <c r="K122" s="149"/>
      <c r="L122" s="149"/>
      <c r="M122" s="149"/>
      <c r="N122" s="149"/>
      <c r="O122" s="149"/>
      <c r="P122" s="149"/>
      <c r="Q122" s="149"/>
      <c r="R122" s="140" t="s">
        <v>778</v>
      </c>
      <c r="S122" s="149"/>
      <c r="T122" s="149"/>
      <c r="U122" s="149"/>
      <c r="V122" s="149"/>
      <c r="W122" s="149"/>
      <c r="X122" s="149"/>
      <c r="Y122" s="140">
        <f>CE_Chile!G$20</f>
        <v>0</v>
      </c>
      <c r="Z122" s="149"/>
      <c r="AA122" s="149"/>
      <c r="AB122" s="149"/>
      <c r="AC122" s="149"/>
      <c r="AD122" s="149"/>
      <c r="AE122" s="149"/>
      <c r="AF122" s="149"/>
    </row>
  </sheetData>
  <sheetProtection password="BE47" sheet="1" objects="1" scenarios="1" selectLockedCells="1" selectUnlockedCells="1"/>
  <customSheetViews>
    <customSheetView guid="{2239797F-3020-4364-93B0-F22DAADF645D}" scale="130" showGridLines="0" showRowCol="0" fitToPage="1" showRuler="0" topLeftCell="A49">
      <selection activeCell="AH74" sqref="AH74"/>
      <pageMargins left="0.7" right="0.7" top="0.75" bottom="0.75" header="0.3" footer="0.3"/>
      <pageSetup scale="80" fitToHeight="3" orientation="portrait"/>
      <headerFooter alignWithMargins="0"/>
    </customSheetView>
  </customSheetViews>
  <mergeCells count="136">
    <mergeCell ref="Y4:AA4"/>
    <mergeCell ref="Y51:AA51"/>
    <mergeCell ref="Y93:AA93"/>
    <mergeCell ref="AC21:AD21"/>
    <mergeCell ref="AB55:AF55"/>
    <mergeCell ref="AB56:AF56"/>
    <mergeCell ref="AB57:AF57"/>
    <mergeCell ref="AA69:AC69"/>
    <mergeCell ref="AA70:AC70"/>
    <mergeCell ref="AA71:AC71"/>
    <mergeCell ref="AE21:AF21"/>
    <mergeCell ref="AC23:AD23"/>
    <mergeCell ref="AE23:AF23"/>
    <mergeCell ref="AC17:AD17"/>
    <mergeCell ref="AE17:AF17"/>
    <mergeCell ref="AC19:AD19"/>
    <mergeCell ref="AE19:AF19"/>
    <mergeCell ref="AE13:AF13"/>
    <mergeCell ref="AD64:AF64"/>
    <mergeCell ref="AD65:AF65"/>
    <mergeCell ref="AA67:AC67"/>
    <mergeCell ref="AA68:AC68"/>
    <mergeCell ref="AD67:AF67"/>
    <mergeCell ref="AD68:AF68"/>
    <mergeCell ref="P35:Q35"/>
    <mergeCell ref="R35:S35"/>
    <mergeCell ref="C33:D33"/>
    <mergeCell ref="O21:P21"/>
    <mergeCell ref="H27:I27"/>
    <mergeCell ref="B28:P28"/>
    <mergeCell ref="M23:N23"/>
    <mergeCell ref="O23:P23"/>
    <mergeCell ref="M25:N25"/>
    <mergeCell ref="O25:P25"/>
    <mergeCell ref="M21:N21"/>
    <mergeCell ref="M15:N15"/>
    <mergeCell ref="O15:P15"/>
    <mergeCell ref="M17:N17"/>
    <mergeCell ref="O17:P17"/>
    <mergeCell ref="AC15:AD15"/>
    <mergeCell ref="AE15:AF15"/>
    <mergeCell ref="M13:N13"/>
    <mergeCell ref="O13:P13"/>
    <mergeCell ref="M19:N19"/>
    <mergeCell ref="AC13:AD13"/>
    <mergeCell ref="O19:P19"/>
    <mergeCell ref="B62:B71"/>
    <mergeCell ref="C62:G64"/>
    <mergeCell ref="T35:U35"/>
    <mergeCell ref="AE25:AF25"/>
    <mergeCell ref="Z27:AA27"/>
    <mergeCell ref="R28:AF28"/>
    <mergeCell ref="T33:U33"/>
    <mergeCell ref="AC25:AD25"/>
    <mergeCell ref="P56:S56"/>
    <mergeCell ref="P57:S57"/>
    <mergeCell ref="P58:S58"/>
    <mergeCell ref="B42:AF42"/>
    <mergeCell ref="B43:AF43"/>
    <mergeCell ref="B44:AF44"/>
    <mergeCell ref="L55:O55"/>
    <mergeCell ref="B55:K55"/>
    <mergeCell ref="P55:S55"/>
    <mergeCell ref="B56:K56"/>
    <mergeCell ref="T55:W55"/>
    <mergeCell ref="C34:D34"/>
    <mergeCell ref="R33:S33"/>
    <mergeCell ref="L33:Q33"/>
    <mergeCell ref="L35:M35"/>
    <mergeCell ref="N35:O35"/>
    <mergeCell ref="B73:B75"/>
    <mergeCell ref="C73:G73"/>
    <mergeCell ref="C74:G74"/>
    <mergeCell ref="C75:G75"/>
    <mergeCell ref="J71:Z71"/>
    <mergeCell ref="AA62:AF62"/>
    <mergeCell ref="AA63:AF63"/>
    <mergeCell ref="AA65:AC65"/>
    <mergeCell ref="AA66:AC66"/>
    <mergeCell ref="AD66:AF66"/>
    <mergeCell ref="J69:Z69"/>
    <mergeCell ref="AD69:AF69"/>
    <mergeCell ref="AA64:AC64"/>
    <mergeCell ref="H69:I69"/>
    <mergeCell ref="H70:I70"/>
    <mergeCell ref="J67:Z67"/>
    <mergeCell ref="J68:Z68"/>
    <mergeCell ref="H65:I65"/>
    <mergeCell ref="H66:I66"/>
    <mergeCell ref="H67:I67"/>
    <mergeCell ref="H62:I64"/>
    <mergeCell ref="J62:Z64"/>
    <mergeCell ref="J65:Z65"/>
    <mergeCell ref="J66:Z66"/>
    <mergeCell ref="H5:P5"/>
    <mergeCell ref="C109:AE109"/>
    <mergeCell ref="C110:AE110"/>
    <mergeCell ref="H73:AF73"/>
    <mergeCell ref="H74:AF74"/>
    <mergeCell ref="AE77:AF77"/>
    <mergeCell ref="AD70:AF70"/>
    <mergeCell ref="AD71:AF71"/>
    <mergeCell ref="C71:G71"/>
    <mergeCell ref="X7:Y7"/>
    <mergeCell ref="C65:G65"/>
    <mergeCell ref="C66:G66"/>
    <mergeCell ref="C67:G67"/>
    <mergeCell ref="C70:G70"/>
    <mergeCell ref="C69:G69"/>
    <mergeCell ref="T56:W56"/>
    <mergeCell ref="T57:W57"/>
    <mergeCell ref="T58:W58"/>
    <mergeCell ref="B57:K57"/>
    <mergeCell ref="B58:K58"/>
    <mergeCell ref="L56:O56"/>
    <mergeCell ref="L57:O57"/>
    <mergeCell ref="L58:O58"/>
    <mergeCell ref="C68:G68"/>
    <mergeCell ref="AE121:AF121"/>
    <mergeCell ref="C114:AE114"/>
    <mergeCell ref="C116:AF116"/>
    <mergeCell ref="AE45:AF45"/>
    <mergeCell ref="AE88:AF88"/>
    <mergeCell ref="C113:AE113"/>
    <mergeCell ref="C115:AE115"/>
    <mergeCell ref="C120:AE120"/>
    <mergeCell ref="C112:AE112"/>
    <mergeCell ref="H71:I71"/>
    <mergeCell ref="C111:AE111"/>
    <mergeCell ref="O79:AF86"/>
    <mergeCell ref="C97:AE97"/>
    <mergeCell ref="C107:AE107"/>
    <mergeCell ref="C108:AE108"/>
    <mergeCell ref="H75:AF75"/>
    <mergeCell ref="H68:I68"/>
    <mergeCell ref="J70:Z70"/>
  </mergeCells>
  <phoneticPr fontId="25" type="noConversion"/>
  <conditionalFormatting sqref="W36 W34">
    <cfRule type="expression" dxfId="55" priority="1" stopIfTrue="1">
      <formula>$W34&gt;5</formula>
    </cfRule>
  </conditionalFormatting>
  <conditionalFormatting sqref="X36 X34">
    <cfRule type="expression" dxfId="54" priority="2" stopIfTrue="1">
      <formula>$W34&gt;15</formula>
    </cfRule>
  </conditionalFormatting>
  <conditionalFormatting sqref="Y36 Y34">
    <cfRule type="expression" dxfId="53" priority="3" stopIfTrue="1">
      <formula>$W34&gt;25</formula>
    </cfRule>
  </conditionalFormatting>
  <conditionalFormatting sqref="Z36 Z34">
    <cfRule type="expression" dxfId="52" priority="4" stopIfTrue="1">
      <formula>$W34&gt;35</formula>
    </cfRule>
  </conditionalFormatting>
  <conditionalFormatting sqref="AA36 AA34">
    <cfRule type="expression" dxfId="51" priority="5" stopIfTrue="1">
      <formula>$W34&gt;45</formula>
    </cfRule>
  </conditionalFormatting>
  <conditionalFormatting sqref="AB36 AB34">
    <cfRule type="expression" dxfId="50" priority="6" stopIfTrue="1">
      <formula>$W34&gt;55</formula>
    </cfRule>
  </conditionalFormatting>
  <conditionalFormatting sqref="AC36 AC34">
    <cfRule type="expression" dxfId="49" priority="7" stopIfTrue="1">
      <formula>$W34&gt;65</formula>
    </cfRule>
  </conditionalFormatting>
  <conditionalFormatting sqref="AD36 AD34">
    <cfRule type="expression" dxfId="48" priority="8" stopIfTrue="1">
      <formula>$W34&gt;75</formula>
    </cfRule>
  </conditionalFormatting>
  <conditionalFormatting sqref="AE36 AE34">
    <cfRule type="expression" dxfId="47" priority="9" stopIfTrue="1">
      <formula>$W34&gt;85</formula>
    </cfRule>
  </conditionalFormatting>
  <conditionalFormatting sqref="AF36 AF34">
    <cfRule type="expression" dxfId="46" priority="10" stopIfTrue="1">
      <formula>$W34&gt;95</formula>
    </cfRule>
  </conditionalFormatting>
  <conditionalFormatting sqref="B88:AF89 R93:AA93 B30:AF30 B40:AF40 B45:AF46 B2:AF4 R51:AA51 B121:AF122 B50 B92">
    <cfRule type="expression" dxfId="45" priority="11" stopIfTrue="1">
      <formula>$B$4="Edificio terminado"</formula>
    </cfRule>
  </conditionalFormatting>
  <conditionalFormatting sqref="B118:AF118 AB91:AF93 R91:AA92 B95:AF95 B105:AF105 C91:Q93 B91 B93">
    <cfRule type="expression" dxfId="44" priority="12" stopIfTrue="1">
      <formula>$B$93="Edificio terminado"</formula>
    </cfRule>
  </conditionalFormatting>
  <conditionalFormatting sqref="B77:AF77 AB49:AF51 R49:AA50 B53:AF53 B60:AF60 B62:B71 B73:B75 C49:Q51 B49 B51">
    <cfRule type="expression" dxfId="43" priority="13" stopIfTrue="1">
      <formula>$B$51="Edificio terminado"</formula>
    </cfRule>
  </conditionalFormatting>
  <conditionalFormatting sqref="AC13:AD13">
    <cfRule type="cellIs" dxfId="42" priority="14" stopIfTrue="1" operator="equal">
      <formula>"A"</formula>
    </cfRule>
  </conditionalFormatting>
  <conditionalFormatting sqref="AE13:AF13">
    <cfRule type="cellIs" dxfId="41" priority="15" stopIfTrue="1" operator="between">
      <formula>$S$13</formula>
      <formula>$U$13</formula>
    </cfRule>
  </conditionalFormatting>
  <conditionalFormatting sqref="O15:P15">
    <cfRule type="cellIs" dxfId="40" priority="16" stopIfTrue="1" operator="between">
      <formula>$C$15</formula>
      <formula>$E$15</formula>
    </cfRule>
  </conditionalFormatting>
  <conditionalFormatting sqref="M23:N23 AC23:AD23">
    <cfRule type="cellIs" dxfId="39" priority="17" stopIfTrue="1" operator="equal">
      <formula>"F"</formula>
    </cfRule>
  </conditionalFormatting>
  <conditionalFormatting sqref="M25:N25 AC25:AD25">
    <cfRule type="cellIs" dxfId="38" priority="18" stopIfTrue="1" operator="equal">
      <formula>"G"</formula>
    </cfRule>
  </conditionalFormatting>
  <conditionalFormatting sqref="M21:N21 AC21:AD21">
    <cfRule type="cellIs" dxfId="37" priority="19" stopIfTrue="1" operator="equal">
      <formula>"E"</formula>
    </cfRule>
  </conditionalFormatting>
  <conditionalFormatting sqref="O19:P19">
    <cfRule type="cellIs" dxfId="36" priority="20" stopIfTrue="1" operator="between">
      <formula>$C$19</formula>
      <formula>$E$19</formula>
    </cfRule>
  </conditionalFormatting>
  <conditionalFormatting sqref="O21:P21">
    <cfRule type="cellIs" dxfId="35" priority="21" stopIfTrue="1" operator="between">
      <formula>$C$21</formula>
      <formula>$E$21</formula>
    </cfRule>
  </conditionalFormatting>
  <conditionalFormatting sqref="O23:P23">
    <cfRule type="cellIs" dxfId="34" priority="22" stopIfTrue="1" operator="between">
      <formula>$C$23</formula>
      <formula>$E$23</formula>
    </cfRule>
  </conditionalFormatting>
  <conditionalFormatting sqref="O25:P25">
    <cfRule type="cellIs" dxfId="33" priority="23" stopIfTrue="1" operator="between">
      <formula>$C$25</formula>
      <formula>$E$25</formula>
    </cfRule>
  </conditionalFormatting>
  <conditionalFormatting sqref="M19:N19 AC19:AD19">
    <cfRule type="cellIs" dxfId="32" priority="24" stopIfTrue="1" operator="equal">
      <formula>"D"</formula>
    </cfRule>
  </conditionalFormatting>
  <conditionalFormatting sqref="AC15:AD15">
    <cfRule type="cellIs" dxfId="31" priority="25" stopIfTrue="1" operator="equal">
      <formula>"B"</formula>
    </cfRule>
  </conditionalFormatting>
  <conditionalFormatting sqref="O13:P13">
    <cfRule type="cellIs" dxfId="30" priority="26" stopIfTrue="1" operator="lessThan">
      <formula>$E$13</formula>
    </cfRule>
  </conditionalFormatting>
  <conditionalFormatting sqref="O17:P17">
    <cfRule type="cellIs" dxfId="29" priority="27" stopIfTrue="1" operator="between">
      <formula>$C$17</formula>
      <formula>$E$17</formula>
    </cfRule>
  </conditionalFormatting>
  <conditionalFormatting sqref="M17:N17 AC17:AD17">
    <cfRule type="cellIs" dxfId="28" priority="28" stopIfTrue="1" operator="equal">
      <formula>"C"</formula>
    </cfRule>
  </conditionalFormatting>
  <conditionalFormatting sqref="AE15:AF15">
    <cfRule type="cellIs" dxfId="27" priority="29" stopIfTrue="1" operator="between">
      <formula>$S$15</formula>
      <formula>$U$15</formula>
    </cfRule>
  </conditionalFormatting>
  <conditionalFormatting sqref="AE17:AF17">
    <cfRule type="cellIs" dxfId="26" priority="30" stopIfTrue="1" operator="between">
      <formula>$S$17</formula>
      <formula>$U$17</formula>
    </cfRule>
  </conditionalFormatting>
  <conditionalFormatting sqref="AE19:AF19">
    <cfRule type="cellIs" dxfId="25" priority="31" stopIfTrue="1" operator="between">
      <formula>$S$19</formula>
      <formula>$U$19</formula>
    </cfRule>
  </conditionalFormatting>
  <conditionalFormatting sqref="AE21:AF21">
    <cfRule type="cellIs" dxfId="24" priority="32" stopIfTrue="1" operator="between">
      <formula>$S$21</formula>
      <formula>$U$21</formula>
    </cfRule>
  </conditionalFormatting>
  <conditionalFormatting sqref="AE23:AF23">
    <cfRule type="cellIs" dxfId="23" priority="33" stopIfTrue="1" operator="between">
      <formula>$S$23</formula>
      <formula>$U$23</formula>
    </cfRule>
  </conditionalFormatting>
  <conditionalFormatting sqref="AE25:AF25">
    <cfRule type="cellIs" dxfId="22" priority="34" stopIfTrue="1" operator="between">
      <formula>$S$25</formula>
      <formula>$U$25</formula>
    </cfRule>
  </conditionalFormatting>
  <conditionalFormatting sqref="W38">
    <cfRule type="expression" dxfId="21" priority="35" stopIfTrue="1">
      <formula>$W$38&gt;5</formula>
    </cfRule>
  </conditionalFormatting>
  <conditionalFormatting sqref="X38">
    <cfRule type="expression" dxfId="20" priority="36" stopIfTrue="1">
      <formula>$W$38&gt;15</formula>
    </cfRule>
  </conditionalFormatting>
  <conditionalFormatting sqref="Y38">
    <cfRule type="expression" dxfId="19" priority="37" stopIfTrue="1">
      <formula>$W$38&gt;25</formula>
    </cfRule>
  </conditionalFormatting>
  <conditionalFormatting sqref="Z38">
    <cfRule type="expression" dxfId="18" priority="38" stopIfTrue="1">
      <formula>$W$38&gt;35</formula>
    </cfRule>
  </conditionalFormatting>
  <conditionalFormatting sqref="AA38">
    <cfRule type="expression" dxfId="17" priority="39" stopIfTrue="1">
      <formula>$W$38&gt;45</formula>
    </cfRule>
  </conditionalFormatting>
  <conditionalFormatting sqref="AB38">
    <cfRule type="expression" dxfId="16" priority="40" stopIfTrue="1">
      <formula>$W$38&gt;55</formula>
    </cfRule>
  </conditionalFormatting>
  <conditionalFormatting sqref="AC38">
    <cfRule type="expression" dxfId="15" priority="41" stopIfTrue="1">
      <formula>$W$38&gt;65</formula>
    </cfRule>
  </conditionalFormatting>
  <conditionalFormatting sqref="AD38">
    <cfRule type="expression" dxfId="14" priority="42" stopIfTrue="1">
      <formula>$W$38&gt;75</formula>
    </cfRule>
  </conditionalFormatting>
  <conditionalFormatting sqref="AE38">
    <cfRule type="expression" dxfId="13" priority="43" stopIfTrue="1">
      <formula>$W$38&gt;85</formula>
    </cfRule>
  </conditionalFormatting>
  <conditionalFormatting sqref="AF38">
    <cfRule type="expression" dxfId="12" priority="44" stopIfTrue="1">
      <formula>$W$38&gt;95</formula>
    </cfRule>
  </conditionalFormatting>
  <conditionalFormatting sqref="M15:N15">
    <cfRule type="cellIs" dxfId="11" priority="45" stopIfTrue="1" operator="equal">
      <formula>"B"</formula>
    </cfRule>
    <cfRule type="cellIs" dxfId="10" priority="46" stopIfTrue="1" operator="equal">
      <formula>"B+"</formula>
    </cfRule>
  </conditionalFormatting>
  <conditionalFormatting sqref="M13:N13">
    <cfRule type="cellIs" dxfId="9" priority="47" stopIfTrue="1" operator="equal">
      <formula>"A"</formula>
    </cfRule>
    <cfRule type="cellIs" dxfId="8" priority="48" stopIfTrue="1" operator="equal">
      <formula>"A+"</formula>
    </cfRule>
  </conditionalFormatting>
  <pageMargins left="0.6" right="0.8" top="0.83" bottom="1" header="0" footer="0"/>
  <headerFooter alignWithMargins="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22"/>
    <pageSetUpPr autoPageBreaks="0"/>
  </sheetPr>
  <dimension ref="A1:AB256"/>
  <sheetViews>
    <sheetView showGridLines="0" topLeftCell="J156" workbookViewId="0">
      <selection activeCell="Y225" sqref="Y225"/>
    </sheetView>
  </sheetViews>
  <sheetFormatPr baseColWidth="10" defaultColWidth="11.42578125" defaultRowHeight="12.75" x14ac:dyDescent="0.2"/>
  <cols>
    <col min="1" max="1" width="6.42578125" style="1160" customWidth="1"/>
    <col min="2" max="2" width="17.42578125" style="1218" customWidth="1"/>
    <col min="3" max="6" width="12.5703125" style="1218" customWidth="1"/>
    <col min="7" max="7" width="7.140625" style="1218" customWidth="1"/>
    <col min="8" max="8" width="7.7109375" style="1218" customWidth="1"/>
    <col min="9" max="9" width="7.85546875" style="1218" customWidth="1"/>
    <col min="10" max="11" width="8.85546875" style="1218" customWidth="1"/>
    <col min="12" max="12" width="6.42578125" style="1218" customWidth="1"/>
    <col min="13" max="15" width="6.28515625" style="1218" customWidth="1"/>
    <col min="16" max="18" width="9.85546875" style="1218" customWidth="1"/>
    <col min="19" max="19" width="9.28515625" style="1159" customWidth="1"/>
    <col min="20" max="23" width="8" style="1159" customWidth="1"/>
    <col min="24" max="24" width="9.85546875" style="1160" customWidth="1"/>
    <col min="25" max="16384" width="11.42578125" style="1159"/>
  </cols>
  <sheetData>
    <row r="1" spans="1:28" x14ac:dyDescent="0.2">
      <c r="A1" s="1158"/>
      <c r="B1" s="1158"/>
      <c r="C1" s="1158"/>
      <c r="D1" s="1158"/>
      <c r="E1" s="1158"/>
      <c r="F1" s="1158"/>
      <c r="G1" s="1158"/>
      <c r="H1" s="1158"/>
      <c r="I1" s="1158"/>
      <c r="J1" s="1158"/>
      <c r="K1" s="1158"/>
      <c r="L1" s="1158"/>
      <c r="M1" s="1158"/>
      <c r="N1" s="1158"/>
      <c r="O1" s="1158"/>
      <c r="P1" s="1158"/>
      <c r="Q1" s="1158"/>
      <c r="R1" s="1158"/>
    </row>
    <row r="2" spans="1:28" ht="13.5" thickBot="1" x14ac:dyDescent="0.25">
      <c r="A2" s="1158"/>
      <c r="B2" s="1158"/>
      <c r="C2" s="1158"/>
      <c r="D2" s="1158"/>
      <c r="E2" s="1158"/>
      <c r="F2" s="1158"/>
      <c r="G2" s="1158"/>
      <c r="H2" s="1158"/>
      <c r="I2" s="1158"/>
      <c r="J2" s="1158"/>
      <c r="K2" s="1158"/>
      <c r="L2" s="1158"/>
      <c r="M2" s="1158"/>
      <c r="N2" s="1158"/>
      <c r="O2" s="1158"/>
      <c r="P2" s="1158"/>
      <c r="Q2" s="1158"/>
      <c r="R2" s="1158"/>
      <c r="S2" s="1110"/>
      <c r="T2" s="1110"/>
      <c r="U2" s="1110"/>
      <c r="V2" s="1110"/>
      <c r="W2" s="1110"/>
      <c r="X2" s="1161"/>
      <c r="Y2" s="1110"/>
      <c r="Z2" s="1110"/>
      <c r="AA2" s="1110"/>
      <c r="AB2" s="1110"/>
    </row>
    <row r="3" spans="1:28" ht="13.5" thickBot="1" x14ac:dyDescent="0.25">
      <c r="A3" s="1158"/>
      <c r="B3" s="1158"/>
      <c r="C3" s="1158"/>
      <c r="D3" s="1158"/>
      <c r="E3" s="1158"/>
      <c r="F3" s="1158"/>
      <c r="G3" s="1429" t="s">
        <v>1282</v>
      </c>
      <c r="H3" s="1430"/>
      <c r="I3" s="1430"/>
      <c r="J3" s="1430"/>
      <c r="K3" s="1431"/>
      <c r="L3" s="1431"/>
      <c r="M3" s="1431"/>
      <c r="N3" s="1431"/>
      <c r="O3" s="1431"/>
      <c r="P3" s="1431"/>
      <c r="Q3" s="1430"/>
      <c r="R3" s="1430"/>
      <c r="S3" s="1430"/>
      <c r="T3" s="1432"/>
      <c r="U3" s="1433" t="s">
        <v>1283</v>
      </c>
      <c r="V3" s="1434"/>
      <c r="W3" s="1434"/>
      <c r="X3" s="1435"/>
      <c r="Y3" s="1110"/>
      <c r="Z3" s="1110"/>
      <c r="AA3" s="1110"/>
      <c r="AB3" s="1110"/>
    </row>
    <row r="4" spans="1:28" ht="13.5" thickBot="1" x14ac:dyDescent="0.25">
      <c r="A4" s="1158"/>
      <c r="B4" s="1162" t="s">
        <v>793</v>
      </c>
      <c r="C4" s="1163" t="s">
        <v>1284</v>
      </c>
      <c r="D4" s="1164" t="s">
        <v>1285</v>
      </c>
      <c r="E4" s="1165" t="s">
        <v>1286</v>
      </c>
      <c r="F4" s="1166" t="s">
        <v>1287</v>
      </c>
      <c r="G4" s="1164" t="s">
        <v>1161</v>
      </c>
      <c r="H4" s="1167" t="s">
        <v>339</v>
      </c>
      <c r="I4" s="1168" t="s">
        <v>1164</v>
      </c>
      <c r="J4" s="1169" t="s">
        <v>1288</v>
      </c>
      <c r="K4" s="1170" t="s">
        <v>1289</v>
      </c>
      <c r="L4" s="1171" t="s">
        <v>1176</v>
      </c>
      <c r="M4" s="1171" t="s">
        <v>1178</v>
      </c>
      <c r="N4" s="1171" t="s">
        <v>303</v>
      </c>
      <c r="O4" s="1172" t="s">
        <v>565</v>
      </c>
      <c r="P4" s="1169" t="s">
        <v>1290</v>
      </c>
      <c r="Q4" s="1173" t="s">
        <v>1231</v>
      </c>
      <c r="R4" s="1174" t="s">
        <v>1291</v>
      </c>
      <c r="S4" s="1175" t="s">
        <v>1292</v>
      </c>
      <c r="T4" s="1166" t="s">
        <v>1293</v>
      </c>
      <c r="U4" s="1164" t="s">
        <v>336</v>
      </c>
      <c r="V4" s="1167" t="s">
        <v>337</v>
      </c>
      <c r="W4" s="1176" t="s">
        <v>1294</v>
      </c>
      <c r="X4" s="1177" t="s">
        <v>1158</v>
      </c>
      <c r="Y4" s="1110"/>
      <c r="Z4" s="1110"/>
      <c r="AA4" s="1110"/>
      <c r="AB4" s="1110"/>
    </row>
    <row r="5" spans="1:28" ht="14.25" customHeight="1" x14ac:dyDescent="0.2">
      <c r="A5" s="1158"/>
      <c r="B5" s="1392" t="s">
        <v>299</v>
      </c>
      <c r="C5" s="1395"/>
      <c r="D5" s="1397"/>
      <c r="E5" s="1400"/>
      <c r="F5" s="1403">
        <f>D5*E5</f>
        <v>0</v>
      </c>
      <c r="G5" s="1397"/>
      <c r="H5" s="1405"/>
      <c r="I5" s="1408"/>
      <c r="J5" s="1413">
        <v>1</v>
      </c>
      <c r="K5" s="1415" t="s">
        <v>1295</v>
      </c>
      <c r="L5" s="1417">
        <f>D5</f>
        <v>0</v>
      </c>
      <c r="M5" s="1417"/>
      <c r="N5" s="1417"/>
      <c r="O5" s="1419"/>
      <c r="P5" s="1413">
        <f>1-O5-O7</f>
        <v>1</v>
      </c>
      <c r="Q5" s="1437"/>
      <c r="R5" s="1450"/>
      <c r="S5" s="1413">
        <v>1</v>
      </c>
      <c r="T5" s="1413">
        <f>J5*P5*S5</f>
        <v>1</v>
      </c>
      <c r="U5" s="1178"/>
      <c r="V5" s="1179"/>
      <c r="W5" s="1180"/>
      <c r="X5" s="1181"/>
      <c r="Y5" s="1110"/>
      <c r="Z5" s="1110"/>
      <c r="AA5" s="1110"/>
      <c r="AB5" s="1110"/>
    </row>
    <row r="6" spans="1:28" x14ac:dyDescent="0.2">
      <c r="A6" s="1158"/>
      <c r="B6" s="1393"/>
      <c r="C6" s="1396"/>
      <c r="D6" s="1398"/>
      <c r="E6" s="1401"/>
      <c r="F6" s="1404"/>
      <c r="G6" s="1398"/>
      <c r="H6" s="1406"/>
      <c r="I6" s="1409"/>
      <c r="J6" s="1414"/>
      <c r="K6" s="1416"/>
      <c r="L6" s="1418"/>
      <c r="M6" s="1418"/>
      <c r="N6" s="1418"/>
      <c r="O6" s="1420"/>
      <c r="P6" s="1414"/>
      <c r="Q6" s="1438"/>
      <c r="R6" s="1451"/>
      <c r="S6" s="1414"/>
      <c r="T6" s="1414"/>
      <c r="U6" s="1182"/>
      <c r="V6" s="1183"/>
      <c r="W6" s="1184"/>
      <c r="X6" s="1185"/>
      <c r="Y6" s="1110"/>
      <c r="Z6" s="1110"/>
      <c r="AA6" s="1110"/>
      <c r="AB6" s="1110"/>
    </row>
    <row r="7" spans="1:28" x14ac:dyDescent="0.2">
      <c r="A7" s="1158"/>
      <c r="B7" s="1393"/>
      <c r="C7" s="1396"/>
      <c r="D7" s="1398"/>
      <c r="E7" s="1401"/>
      <c r="F7" s="1404"/>
      <c r="G7" s="1398"/>
      <c r="H7" s="1406"/>
      <c r="I7" s="1409"/>
      <c r="J7" s="1414"/>
      <c r="K7" s="1453" t="s">
        <v>1296</v>
      </c>
      <c r="L7" s="1421">
        <f>D5</f>
        <v>0</v>
      </c>
      <c r="M7" s="1421"/>
      <c r="N7" s="1421"/>
      <c r="O7" s="1411"/>
      <c r="P7" s="1414"/>
      <c r="Q7" s="1438"/>
      <c r="R7" s="1451"/>
      <c r="S7" s="1414"/>
      <c r="T7" s="1414"/>
      <c r="U7" s="1182"/>
      <c r="V7" s="1183"/>
      <c r="W7" s="1184"/>
      <c r="X7" s="1185"/>
      <c r="Y7" s="1110"/>
      <c r="Z7" s="1110"/>
      <c r="AA7" s="1110"/>
      <c r="AB7" s="1110"/>
    </row>
    <row r="8" spans="1:28" ht="13.5" thickBot="1" x14ac:dyDescent="0.25">
      <c r="A8" s="1158"/>
      <c r="B8" s="1393"/>
      <c r="C8" s="1396"/>
      <c r="D8" s="1398"/>
      <c r="E8" s="1401"/>
      <c r="F8" s="1404"/>
      <c r="G8" s="1398"/>
      <c r="H8" s="1406"/>
      <c r="I8" s="1409"/>
      <c r="J8" s="1414"/>
      <c r="K8" s="1453"/>
      <c r="L8" s="1421"/>
      <c r="M8" s="1421"/>
      <c r="N8" s="1421"/>
      <c r="O8" s="1411"/>
      <c r="P8" s="1414"/>
      <c r="Q8" s="1438"/>
      <c r="R8" s="1451"/>
      <c r="S8" s="1414"/>
      <c r="T8" s="1414"/>
      <c r="U8" s="1186"/>
      <c r="V8" s="1187"/>
      <c r="W8" s="1188"/>
      <c r="X8" s="1185"/>
      <c r="Y8" s="1110"/>
      <c r="Z8" s="1110"/>
      <c r="AA8" s="1110"/>
      <c r="AB8" s="1110"/>
    </row>
    <row r="9" spans="1:28" ht="13.5" thickBot="1" x14ac:dyDescent="0.25">
      <c r="A9" s="1158"/>
      <c r="B9" s="1393"/>
      <c r="C9" s="1396"/>
      <c r="D9" s="1399"/>
      <c r="E9" s="1402"/>
      <c r="F9" s="1404"/>
      <c r="G9" s="1399"/>
      <c r="H9" s="1407"/>
      <c r="I9" s="1410"/>
      <c r="J9" s="1414"/>
      <c r="K9" s="1454"/>
      <c r="L9" s="1422"/>
      <c r="M9" s="1422"/>
      <c r="N9" s="1422"/>
      <c r="O9" s="1412"/>
      <c r="P9" s="1414"/>
      <c r="Q9" s="1449"/>
      <c r="R9" s="1452"/>
      <c r="S9" s="1414"/>
      <c r="T9" s="1414"/>
      <c r="U9" s="1440" t="s">
        <v>1297</v>
      </c>
      <c r="V9" s="1441"/>
      <c r="W9" s="1442"/>
      <c r="X9" s="1189">
        <v>1</v>
      </c>
      <c r="Y9" s="1110"/>
      <c r="Z9" s="1110"/>
      <c r="AA9" s="1110"/>
      <c r="AB9" s="1110"/>
    </row>
    <row r="10" spans="1:28" ht="14.25" customHeight="1" x14ac:dyDescent="0.2">
      <c r="A10" s="1158"/>
      <c r="B10" s="1393"/>
      <c r="C10" s="1395"/>
      <c r="D10" s="1397"/>
      <c r="E10" s="1400"/>
      <c r="F10" s="1403">
        <f t="shared" ref="F10" si="0">D10*E10</f>
        <v>0</v>
      </c>
      <c r="G10" s="1397">
        <f>E10</f>
        <v>0</v>
      </c>
      <c r="H10" s="1405"/>
      <c r="I10" s="1408"/>
      <c r="J10" s="1413">
        <v>1</v>
      </c>
      <c r="K10" s="1415" t="s">
        <v>1295</v>
      </c>
      <c r="L10" s="1417">
        <f>D10</f>
        <v>0</v>
      </c>
      <c r="M10" s="1417"/>
      <c r="N10" s="1417"/>
      <c r="O10" s="1419"/>
      <c r="P10" s="1413">
        <f>1-O10-O12</f>
        <v>1</v>
      </c>
      <c r="Q10" s="1437"/>
      <c r="R10" s="1450"/>
      <c r="S10" s="1413">
        <v>1</v>
      </c>
      <c r="T10" s="1413">
        <f>J10*P10*S10</f>
        <v>1</v>
      </c>
      <c r="U10" s="1178"/>
      <c r="V10" s="1179"/>
      <c r="W10" s="1180"/>
      <c r="X10" s="1181"/>
      <c r="Y10" s="1110"/>
      <c r="Z10" s="1110"/>
      <c r="AA10" s="1110"/>
      <c r="AB10" s="1110"/>
    </row>
    <row r="11" spans="1:28" ht="12.75" customHeight="1" x14ac:dyDescent="0.2">
      <c r="A11" s="1158"/>
      <c r="B11" s="1393"/>
      <c r="C11" s="1396"/>
      <c r="D11" s="1398"/>
      <c r="E11" s="1401"/>
      <c r="F11" s="1404"/>
      <c r="G11" s="1398"/>
      <c r="H11" s="1406"/>
      <c r="I11" s="1409"/>
      <c r="J11" s="1414"/>
      <c r="K11" s="1416"/>
      <c r="L11" s="1418"/>
      <c r="M11" s="1418"/>
      <c r="N11" s="1418"/>
      <c r="O11" s="1420"/>
      <c r="P11" s="1414"/>
      <c r="Q11" s="1438"/>
      <c r="R11" s="1451"/>
      <c r="S11" s="1414"/>
      <c r="T11" s="1414"/>
      <c r="U11" s="1182"/>
      <c r="V11" s="1183"/>
      <c r="W11" s="1184"/>
      <c r="X11" s="1185"/>
      <c r="Y11" s="1110"/>
      <c r="Z11" s="1110"/>
      <c r="AA11" s="1110"/>
      <c r="AB11" s="1110"/>
    </row>
    <row r="12" spans="1:28" ht="12.75" customHeight="1" x14ac:dyDescent="0.2">
      <c r="A12" s="1158"/>
      <c r="B12" s="1393"/>
      <c r="C12" s="1396"/>
      <c r="D12" s="1398"/>
      <c r="E12" s="1401"/>
      <c r="F12" s="1404"/>
      <c r="G12" s="1398"/>
      <c r="H12" s="1406"/>
      <c r="I12" s="1409"/>
      <c r="J12" s="1414"/>
      <c r="K12" s="1453" t="s">
        <v>1296</v>
      </c>
      <c r="L12" s="1421">
        <f>D10</f>
        <v>0</v>
      </c>
      <c r="M12" s="1421"/>
      <c r="N12" s="1421"/>
      <c r="O12" s="1411"/>
      <c r="P12" s="1414"/>
      <c r="Q12" s="1438"/>
      <c r="R12" s="1451"/>
      <c r="S12" s="1414"/>
      <c r="T12" s="1414"/>
      <c r="U12" s="1182"/>
      <c r="V12" s="1183"/>
      <c r="W12" s="1184"/>
      <c r="X12" s="1185"/>
      <c r="Y12" s="1110"/>
      <c r="Z12" s="1110"/>
      <c r="AA12" s="1110"/>
      <c r="AB12" s="1110"/>
    </row>
    <row r="13" spans="1:28" ht="13.5" customHeight="1" thickBot="1" x14ac:dyDescent="0.25">
      <c r="A13" s="1158"/>
      <c r="B13" s="1393"/>
      <c r="C13" s="1396"/>
      <c r="D13" s="1398"/>
      <c r="E13" s="1401"/>
      <c r="F13" s="1404"/>
      <c r="G13" s="1398"/>
      <c r="H13" s="1406"/>
      <c r="I13" s="1409"/>
      <c r="J13" s="1414"/>
      <c r="K13" s="1453"/>
      <c r="L13" s="1421"/>
      <c r="M13" s="1421"/>
      <c r="N13" s="1421"/>
      <c r="O13" s="1411"/>
      <c r="P13" s="1414"/>
      <c r="Q13" s="1438"/>
      <c r="R13" s="1451"/>
      <c r="S13" s="1414"/>
      <c r="T13" s="1414"/>
      <c r="U13" s="1186"/>
      <c r="V13" s="1187"/>
      <c r="W13" s="1188"/>
      <c r="X13" s="1185"/>
      <c r="Y13" s="1110"/>
      <c r="Z13" s="1110"/>
      <c r="AA13" s="1110"/>
      <c r="AB13" s="1110"/>
    </row>
    <row r="14" spans="1:28" ht="13.5" customHeight="1" thickBot="1" x14ac:dyDescent="0.25">
      <c r="A14" s="1158"/>
      <c r="B14" s="1393"/>
      <c r="C14" s="1443"/>
      <c r="D14" s="1444"/>
      <c r="E14" s="1445"/>
      <c r="F14" s="1446"/>
      <c r="G14" s="1399"/>
      <c r="H14" s="1447"/>
      <c r="I14" s="1448"/>
      <c r="J14" s="1436"/>
      <c r="K14" s="1471"/>
      <c r="L14" s="1422"/>
      <c r="M14" s="1472"/>
      <c r="N14" s="1472"/>
      <c r="O14" s="1473"/>
      <c r="P14" s="1436"/>
      <c r="Q14" s="1439"/>
      <c r="R14" s="1470"/>
      <c r="S14" s="1436"/>
      <c r="T14" s="1436"/>
      <c r="U14" s="1455" t="s">
        <v>1297</v>
      </c>
      <c r="V14" s="1456"/>
      <c r="W14" s="1457"/>
      <c r="X14" s="1190">
        <v>1</v>
      </c>
      <c r="Y14" s="1110"/>
      <c r="Z14" s="1110"/>
      <c r="AA14" s="1110"/>
      <c r="AB14" s="1110"/>
    </row>
    <row r="15" spans="1:28" x14ac:dyDescent="0.2">
      <c r="A15" s="1158"/>
      <c r="B15" s="1393"/>
      <c r="C15" s="1458"/>
      <c r="D15" s="1459"/>
      <c r="E15" s="1460"/>
      <c r="F15" s="1404">
        <f t="shared" ref="F15" si="1">D15*E15</f>
        <v>0</v>
      </c>
      <c r="G15" s="1397">
        <f>E15</f>
        <v>0</v>
      </c>
      <c r="H15" s="1461"/>
      <c r="I15" s="1464"/>
      <c r="J15" s="1467">
        <v>1</v>
      </c>
      <c r="K15" s="1468" t="s">
        <v>1295</v>
      </c>
      <c r="L15" s="1417">
        <f>D15</f>
        <v>0</v>
      </c>
      <c r="M15" s="1423"/>
      <c r="N15" s="1423"/>
      <c r="O15" s="1425"/>
      <c r="P15" s="1467">
        <f>1-O15-O17</f>
        <v>1</v>
      </c>
      <c r="Q15" s="1495"/>
      <c r="R15" s="1486"/>
      <c r="S15" s="1467">
        <v>1</v>
      </c>
      <c r="T15" s="1467">
        <f>J15*P15*S15</f>
        <v>1</v>
      </c>
      <c r="U15" s="1191"/>
      <c r="V15" s="1192"/>
      <c r="W15" s="1193"/>
      <c r="X15" s="1194"/>
      <c r="Y15" s="1110"/>
      <c r="Z15" s="1110"/>
      <c r="AA15" s="1110"/>
      <c r="AB15" s="1110"/>
    </row>
    <row r="16" spans="1:28" x14ac:dyDescent="0.2">
      <c r="A16" s="1158"/>
      <c r="B16" s="1393"/>
      <c r="C16" s="1458"/>
      <c r="D16" s="1398"/>
      <c r="E16" s="1401"/>
      <c r="F16" s="1404"/>
      <c r="G16" s="1398"/>
      <c r="H16" s="1462"/>
      <c r="I16" s="1465"/>
      <c r="J16" s="1467"/>
      <c r="K16" s="1469"/>
      <c r="L16" s="1418"/>
      <c r="M16" s="1424"/>
      <c r="N16" s="1424"/>
      <c r="O16" s="1426"/>
      <c r="P16" s="1467"/>
      <c r="Q16" s="1475"/>
      <c r="R16" s="1487"/>
      <c r="S16" s="1467"/>
      <c r="T16" s="1467"/>
      <c r="U16" s="1182"/>
      <c r="V16" s="1183"/>
      <c r="W16" s="1184"/>
      <c r="X16" s="1185"/>
      <c r="Y16" s="1110"/>
      <c r="Z16" s="1110"/>
      <c r="AA16" s="1110"/>
      <c r="AB16" s="1110"/>
    </row>
    <row r="17" spans="1:28" x14ac:dyDescent="0.2">
      <c r="A17" s="1158"/>
      <c r="B17" s="1393"/>
      <c r="C17" s="1458"/>
      <c r="D17" s="1398"/>
      <c r="E17" s="1401"/>
      <c r="F17" s="1404"/>
      <c r="G17" s="1398"/>
      <c r="H17" s="1462"/>
      <c r="I17" s="1465"/>
      <c r="J17" s="1467"/>
      <c r="K17" s="1489" t="s">
        <v>1296</v>
      </c>
      <c r="L17" s="1421">
        <f>D15</f>
        <v>0</v>
      </c>
      <c r="M17" s="1491"/>
      <c r="N17" s="1491"/>
      <c r="O17" s="1493"/>
      <c r="P17" s="1467"/>
      <c r="Q17" s="1475"/>
      <c r="R17" s="1487"/>
      <c r="S17" s="1467"/>
      <c r="T17" s="1467"/>
      <c r="U17" s="1182"/>
      <c r="V17" s="1183"/>
      <c r="W17" s="1184"/>
      <c r="X17" s="1185"/>
      <c r="Y17" s="1110"/>
      <c r="Z17" s="1110"/>
      <c r="AA17" s="1110"/>
      <c r="AB17" s="1110"/>
    </row>
    <row r="18" spans="1:28" ht="13.5" thickBot="1" x14ac:dyDescent="0.25">
      <c r="A18" s="1158"/>
      <c r="B18" s="1393"/>
      <c r="C18" s="1458"/>
      <c r="D18" s="1398"/>
      <c r="E18" s="1401"/>
      <c r="F18" s="1404"/>
      <c r="G18" s="1398"/>
      <c r="H18" s="1462"/>
      <c r="I18" s="1465"/>
      <c r="J18" s="1467"/>
      <c r="K18" s="1489"/>
      <c r="L18" s="1421"/>
      <c r="M18" s="1491"/>
      <c r="N18" s="1491"/>
      <c r="O18" s="1493"/>
      <c r="P18" s="1467"/>
      <c r="Q18" s="1475"/>
      <c r="R18" s="1487"/>
      <c r="S18" s="1467"/>
      <c r="T18" s="1467"/>
      <c r="U18" s="1186"/>
      <c r="V18" s="1187"/>
      <c r="W18" s="1188"/>
      <c r="X18" s="1185"/>
      <c r="Y18" s="1110"/>
      <c r="Z18" s="1110"/>
      <c r="AA18" s="1110"/>
      <c r="AB18" s="1110"/>
    </row>
    <row r="19" spans="1:28" ht="13.5" thickBot="1" x14ac:dyDescent="0.25">
      <c r="A19" s="1158"/>
      <c r="B19" s="1393"/>
      <c r="C19" s="1458"/>
      <c r="D19" s="1399"/>
      <c r="E19" s="1402"/>
      <c r="F19" s="1404"/>
      <c r="G19" s="1399"/>
      <c r="H19" s="1463"/>
      <c r="I19" s="1466"/>
      <c r="J19" s="1467"/>
      <c r="K19" s="1490"/>
      <c r="L19" s="1422"/>
      <c r="M19" s="1492"/>
      <c r="N19" s="1492"/>
      <c r="O19" s="1494"/>
      <c r="P19" s="1467"/>
      <c r="Q19" s="1496"/>
      <c r="R19" s="1488"/>
      <c r="S19" s="1467"/>
      <c r="T19" s="1467"/>
      <c r="U19" s="1440" t="s">
        <v>1297</v>
      </c>
      <c r="V19" s="1441"/>
      <c r="W19" s="1442"/>
      <c r="X19" s="1189">
        <v>1</v>
      </c>
      <c r="Y19" s="1110"/>
      <c r="Z19" s="1110"/>
      <c r="AA19" s="1110"/>
      <c r="AB19" s="1110"/>
    </row>
    <row r="20" spans="1:28" x14ac:dyDescent="0.2">
      <c r="A20" s="1158"/>
      <c r="B20" s="1393"/>
      <c r="C20" s="1477"/>
      <c r="D20" s="1397"/>
      <c r="E20" s="1400"/>
      <c r="F20" s="1403">
        <f t="shared" ref="F20" si="2">D20*E20</f>
        <v>0</v>
      </c>
      <c r="G20" s="1397">
        <f>E20</f>
        <v>0</v>
      </c>
      <c r="H20" s="1479"/>
      <c r="I20" s="1481"/>
      <c r="J20" s="1483">
        <v>1</v>
      </c>
      <c r="K20" s="1485" t="s">
        <v>1295</v>
      </c>
      <c r="L20" s="1417">
        <f>D20</f>
        <v>0</v>
      </c>
      <c r="M20" s="1427"/>
      <c r="N20" s="1427"/>
      <c r="O20" s="1428"/>
      <c r="P20" s="1483">
        <f>1-O20-O22</f>
        <v>1</v>
      </c>
      <c r="Q20" s="1474"/>
      <c r="R20" s="1497"/>
      <c r="S20" s="1483">
        <v>1</v>
      </c>
      <c r="T20" s="1483">
        <f>J20*P20*S20</f>
        <v>1</v>
      </c>
      <c r="U20" s="1178"/>
      <c r="V20" s="1179"/>
      <c r="W20" s="1180"/>
      <c r="X20" s="1181"/>
      <c r="Y20" s="1110"/>
      <c r="Z20" s="1110"/>
      <c r="AA20" s="1110"/>
      <c r="AB20" s="1110"/>
    </row>
    <row r="21" spans="1:28" x14ac:dyDescent="0.2">
      <c r="A21" s="1158"/>
      <c r="B21" s="1393"/>
      <c r="C21" s="1458"/>
      <c r="D21" s="1398"/>
      <c r="E21" s="1401"/>
      <c r="F21" s="1404"/>
      <c r="G21" s="1398"/>
      <c r="H21" s="1462"/>
      <c r="I21" s="1465"/>
      <c r="J21" s="1467"/>
      <c r="K21" s="1469"/>
      <c r="L21" s="1418"/>
      <c r="M21" s="1424"/>
      <c r="N21" s="1424"/>
      <c r="O21" s="1426"/>
      <c r="P21" s="1467"/>
      <c r="Q21" s="1475"/>
      <c r="R21" s="1487"/>
      <c r="S21" s="1467"/>
      <c r="T21" s="1467"/>
      <c r="U21" s="1182"/>
      <c r="V21" s="1183"/>
      <c r="W21" s="1184"/>
      <c r="X21" s="1185"/>
      <c r="Y21" s="1110"/>
      <c r="Z21" s="1110"/>
      <c r="AA21" s="1110"/>
      <c r="AB21" s="1110"/>
    </row>
    <row r="22" spans="1:28" x14ac:dyDescent="0.2">
      <c r="A22" s="1158"/>
      <c r="B22" s="1393"/>
      <c r="C22" s="1458"/>
      <c r="D22" s="1398"/>
      <c r="E22" s="1401"/>
      <c r="F22" s="1404"/>
      <c r="G22" s="1398"/>
      <c r="H22" s="1462"/>
      <c r="I22" s="1465"/>
      <c r="J22" s="1467"/>
      <c r="K22" s="1489" t="s">
        <v>1296</v>
      </c>
      <c r="L22" s="1421">
        <f>D20</f>
        <v>0</v>
      </c>
      <c r="M22" s="1491"/>
      <c r="N22" s="1491"/>
      <c r="O22" s="1493"/>
      <c r="P22" s="1467"/>
      <c r="Q22" s="1475"/>
      <c r="R22" s="1487"/>
      <c r="S22" s="1467"/>
      <c r="T22" s="1467"/>
      <c r="U22" s="1182"/>
      <c r="V22" s="1183"/>
      <c r="W22" s="1184"/>
      <c r="X22" s="1185"/>
      <c r="Y22" s="1110"/>
      <c r="Z22" s="1110"/>
      <c r="AA22" s="1110"/>
      <c r="AB22" s="1110"/>
    </row>
    <row r="23" spans="1:28" ht="13.5" thickBot="1" x14ac:dyDescent="0.25">
      <c r="A23" s="1158"/>
      <c r="B23" s="1393"/>
      <c r="C23" s="1458"/>
      <c r="D23" s="1398"/>
      <c r="E23" s="1401"/>
      <c r="F23" s="1404"/>
      <c r="G23" s="1398"/>
      <c r="H23" s="1462"/>
      <c r="I23" s="1465"/>
      <c r="J23" s="1467"/>
      <c r="K23" s="1489"/>
      <c r="L23" s="1421"/>
      <c r="M23" s="1491"/>
      <c r="N23" s="1491"/>
      <c r="O23" s="1493"/>
      <c r="P23" s="1467"/>
      <c r="Q23" s="1475"/>
      <c r="R23" s="1487"/>
      <c r="S23" s="1467"/>
      <c r="T23" s="1467"/>
      <c r="U23" s="1186"/>
      <c r="V23" s="1187"/>
      <c r="W23" s="1188"/>
      <c r="X23" s="1185"/>
      <c r="Y23" s="1110"/>
      <c r="Z23" s="1110"/>
      <c r="AA23" s="1110"/>
      <c r="AB23" s="1110"/>
    </row>
    <row r="24" spans="1:28" ht="13.5" thickBot="1" x14ac:dyDescent="0.25">
      <c r="A24" s="1158"/>
      <c r="B24" s="1393"/>
      <c r="C24" s="1478"/>
      <c r="D24" s="1444"/>
      <c r="E24" s="1445"/>
      <c r="F24" s="1446"/>
      <c r="G24" s="1399"/>
      <c r="H24" s="1480"/>
      <c r="I24" s="1482"/>
      <c r="J24" s="1484"/>
      <c r="K24" s="1499"/>
      <c r="L24" s="1422"/>
      <c r="M24" s="1500"/>
      <c r="N24" s="1500"/>
      <c r="O24" s="1501"/>
      <c r="P24" s="1484"/>
      <c r="Q24" s="1476"/>
      <c r="R24" s="1498"/>
      <c r="S24" s="1484"/>
      <c r="T24" s="1484"/>
      <c r="U24" s="1455" t="s">
        <v>1297</v>
      </c>
      <c r="V24" s="1456"/>
      <c r="W24" s="1457"/>
      <c r="X24" s="1190">
        <v>1</v>
      </c>
      <c r="Y24" s="1110"/>
      <c r="Z24" s="1110"/>
      <c r="AA24" s="1110"/>
      <c r="AB24" s="1110"/>
    </row>
    <row r="25" spans="1:28" x14ac:dyDescent="0.2">
      <c r="A25" s="1158"/>
      <c r="B25" s="1393"/>
      <c r="C25" s="1477"/>
      <c r="D25" s="1397"/>
      <c r="E25" s="1400"/>
      <c r="F25" s="1403">
        <f t="shared" ref="F25" si="3">D25*E25</f>
        <v>0</v>
      </c>
      <c r="G25" s="1397">
        <f>E25</f>
        <v>0</v>
      </c>
      <c r="H25" s="1479"/>
      <c r="I25" s="1481"/>
      <c r="J25" s="1483">
        <v>1</v>
      </c>
      <c r="K25" s="1485" t="s">
        <v>1295</v>
      </c>
      <c r="L25" s="1417">
        <f>D25</f>
        <v>0</v>
      </c>
      <c r="M25" s="1427"/>
      <c r="N25" s="1427"/>
      <c r="O25" s="1428"/>
      <c r="P25" s="1483">
        <f>1-O25-O27</f>
        <v>1</v>
      </c>
      <c r="Q25" s="1474"/>
      <c r="R25" s="1497"/>
      <c r="S25" s="1483">
        <v>1</v>
      </c>
      <c r="T25" s="1483">
        <f>J25*P25*S25</f>
        <v>1</v>
      </c>
      <c r="U25" s="1178"/>
      <c r="V25" s="1179"/>
      <c r="W25" s="1180"/>
      <c r="X25" s="1181"/>
      <c r="Y25" s="1110"/>
      <c r="Z25" s="1110"/>
      <c r="AA25" s="1110"/>
      <c r="AB25" s="1110"/>
    </row>
    <row r="26" spans="1:28" x14ac:dyDescent="0.2">
      <c r="A26" s="1158"/>
      <c r="B26" s="1393"/>
      <c r="C26" s="1458"/>
      <c r="D26" s="1398"/>
      <c r="E26" s="1401"/>
      <c r="F26" s="1404"/>
      <c r="G26" s="1398"/>
      <c r="H26" s="1462"/>
      <c r="I26" s="1465"/>
      <c r="J26" s="1467"/>
      <c r="K26" s="1469"/>
      <c r="L26" s="1418"/>
      <c r="M26" s="1424"/>
      <c r="N26" s="1424"/>
      <c r="O26" s="1426"/>
      <c r="P26" s="1467"/>
      <c r="Q26" s="1475"/>
      <c r="R26" s="1487"/>
      <c r="S26" s="1467"/>
      <c r="T26" s="1467"/>
      <c r="U26" s="1182"/>
      <c r="V26" s="1183"/>
      <c r="W26" s="1184"/>
      <c r="X26" s="1185"/>
      <c r="Y26" s="1110"/>
      <c r="Z26" s="1110"/>
      <c r="AA26" s="1110"/>
      <c r="AB26" s="1110"/>
    </row>
    <row r="27" spans="1:28" x14ac:dyDescent="0.2">
      <c r="A27" s="1158"/>
      <c r="B27" s="1393"/>
      <c r="C27" s="1458"/>
      <c r="D27" s="1398"/>
      <c r="E27" s="1401"/>
      <c r="F27" s="1404"/>
      <c r="G27" s="1398"/>
      <c r="H27" s="1462"/>
      <c r="I27" s="1465"/>
      <c r="J27" s="1467"/>
      <c r="K27" s="1489" t="s">
        <v>1296</v>
      </c>
      <c r="L27" s="1421">
        <f>D25</f>
        <v>0</v>
      </c>
      <c r="M27" s="1491"/>
      <c r="N27" s="1491"/>
      <c r="O27" s="1493"/>
      <c r="P27" s="1467"/>
      <c r="Q27" s="1475"/>
      <c r="R27" s="1487"/>
      <c r="S27" s="1467"/>
      <c r="T27" s="1467"/>
      <c r="U27" s="1182"/>
      <c r="V27" s="1183"/>
      <c r="W27" s="1184"/>
      <c r="X27" s="1185"/>
      <c r="Y27" s="1110"/>
      <c r="Z27" s="1110"/>
      <c r="AA27" s="1110"/>
      <c r="AB27" s="1110"/>
    </row>
    <row r="28" spans="1:28" ht="13.5" thickBot="1" x14ac:dyDescent="0.25">
      <c r="A28" s="1158"/>
      <c r="B28" s="1393"/>
      <c r="C28" s="1458"/>
      <c r="D28" s="1398"/>
      <c r="E28" s="1401"/>
      <c r="F28" s="1404"/>
      <c r="G28" s="1398"/>
      <c r="H28" s="1462"/>
      <c r="I28" s="1465"/>
      <c r="J28" s="1467"/>
      <c r="K28" s="1489"/>
      <c r="L28" s="1421"/>
      <c r="M28" s="1491"/>
      <c r="N28" s="1491"/>
      <c r="O28" s="1493"/>
      <c r="P28" s="1467"/>
      <c r="Q28" s="1475"/>
      <c r="R28" s="1487"/>
      <c r="S28" s="1467"/>
      <c r="T28" s="1467"/>
      <c r="U28" s="1186"/>
      <c r="V28" s="1187"/>
      <c r="W28" s="1188"/>
      <c r="X28" s="1185"/>
      <c r="Y28" s="1110"/>
      <c r="Z28" s="1110"/>
      <c r="AA28" s="1110"/>
      <c r="AB28" s="1110"/>
    </row>
    <row r="29" spans="1:28" ht="13.5" thickBot="1" x14ac:dyDescent="0.25">
      <c r="A29" s="1158"/>
      <c r="B29" s="1393"/>
      <c r="C29" s="1478"/>
      <c r="D29" s="1444"/>
      <c r="E29" s="1445"/>
      <c r="F29" s="1446"/>
      <c r="G29" s="1399"/>
      <c r="H29" s="1480"/>
      <c r="I29" s="1482"/>
      <c r="J29" s="1484"/>
      <c r="K29" s="1499"/>
      <c r="L29" s="1422"/>
      <c r="M29" s="1500"/>
      <c r="N29" s="1500"/>
      <c r="O29" s="1501"/>
      <c r="P29" s="1484"/>
      <c r="Q29" s="1476"/>
      <c r="R29" s="1498"/>
      <c r="S29" s="1484"/>
      <c r="T29" s="1484"/>
      <c r="U29" s="1455" t="s">
        <v>1297</v>
      </c>
      <c r="V29" s="1456"/>
      <c r="W29" s="1457"/>
      <c r="X29" s="1190">
        <v>1</v>
      </c>
      <c r="Y29" s="1110"/>
      <c r="Z29" s="1110"/>
      <c r="AA29" s="1110"/>
      <c r="AB29" s="1110"/>
    </row>
    <row r="30" spans="1:28" x14ac:dyDescent="0.2">
      <c r="A30" s="1158"/>
      <c r="B30" s="1393"/>
      <c r="C30" s="1477"/>
      <c r="D30" s="1397"/>
      <c r="E30" s="1400"/>
      <c r="F30" s="1403">
        <f t="shared" ref="F30" si="4">D30*E30</f>
        <v>0</v>
      </c>
      <c r="G30" s="1397">
        <f>E30</f>
        <v>0</v>
      </c>
      <c r="H30" s="1479"/>
      <c r="I30" s="1481"/>
      <c r="J30" s="1483">
        <v>1</v>
      </c>
      <c r="K30" s="1485" t="s">
        <v>1295</v>
      </c>
      <c r="L30" s="1417">
        <f>D30</f>
        <v>0</v>
      </c>
      <c r="M30" s="1427"/>
      <c r="N30" s="1427"/>
      <c r="O30" s="1428"/>
      <c r="P30" s="1483">
        <f>1-O30-O32</f>
        <v>1</v>
      </c>
      <c r="Q30" s="1474"/>
      <c r="R30" s="1497"/>
      <c r="S30" s="1483">
        <v>1</v>
      </c>
      <c r="T30" s="1483">
        <f>J30*P30*S30</f>
        <v>1</v>
      </c>
      <c r="U30" s="1178"/>
      <c r="V30" s="1179"/>
      <c r="W30" s="1180"/>
      <c r="X30" s="1181"/>
      <c r="Y30" s="1110"/>
      <c r="Z30" s="1110"/>
      <c r="AA30" s="1110"/>
      <c r="AB30" s="1110"/>
    </row>
    <row r="31" spans="1:28" x14ac:dyDescent="0.2">
      <c r="A31" s="1158"/>
      <c r="B31" s="1393"/>
      <c r="C31" s="1458"/>
      <c r="D31" s="1398"/>
      <c r="E31" s="1401"/>
      <c r="F31" s="1404"/>
      <c r="G31" s="1398"/>
      <c r="H31" s="1462"/>
      <c r="I31" s="1465"/>
      <c r="J31" s="1467"/>
      <c r="K31" s="1469"/>
      <c r="L31" s="1418"/>
      <c r="M31" s="1424"/>
      <c r="N31" s="1424"/>
      <c r="O31" s="1426"/>
      <c r="P31" s="1467"/>
      <c r="Q31" s="1475"/>
      <c r="R31" s="1487"/>
      <c r="S31" s="1467"/>
      <c r="T31" s="1467"/>
      <c r="U31" s="1182"/>
      <c r="V31" s="1183"/>
      <c r="W31" s="1184"/>
      <c r="X31" s="1185"/>
      <c r="Y31" s="1110"/>
      <c r="Z31" s="1110"/>
      <c r="AA31" s="1110"/>
      <c r="AB31" s="1110"/>
    </row>
    <row r="32" spans="1:28" x14ac:dyDescent="0.2">
      <c r="A32" s="1158"/>
      <c r="B32" s="1393"/>
      <c r="C32" s="1458"/>
      <c r="D32" s="1398"/>
      <c r="E32" s="1401"/>
      <c r="F32" s="1404"/>
      <c r="G32" s="1398"/>
      <c r="H32" s="1462"/>
      <c r="I32" s="1465"/>
      <c r="J32" s="1467"/>
      <c r="K32" s="1489" t="s">
        <v>1296</v>
      </c>
      <c r="L32" s="1421">
        <f>D30</f>
        <v>0</v>
      </c>
      <c r="M32" s="1491"/>
      <c r="N32" s="1491"/>
      <c r="O32" s="1493"/>
      <c r="P32" s="1467"/>
      <c r="Q32" s="1475"/>
      <c r="R32" s="1487"/>
      <c r="S32" s="1467"/>
      <c r="T32" s="1467"/>
      <c r="U32" s="1182"/>
      <c r="V32" s="1183"/>
      <c r="W32" s="1184"/>
      <c r="X32" s="1185"/>
      <c r="Y32" s="1110"/>
      <c r="Z32" s="1110"/>
      <c r="AA32" s="1110"/>
      <c r="AB32" s="1110"/>
    </row>
    <row r="33" spans="1:28" ht="13.5" thickBot="1" x14ac:dyDescent="0.25">
      <c r="A33" s="1158"/>
      <c r="B33" s="1393"/>
      <c r="C33" s="1458"/>
      <c r="D33" s="1398"/>
      <c r="E33" s="1401"/>
      <c r="F33" s="1404"/>
      <c r="G33" s="1398"/>
      <c r="H33" s="1462"/>
      <c r="I33" s="1465"/>
      <c r="J33" s="1467"/>
      <c r="K33" s="1489"/>
      <c r="L33" s="1421"/>
      <c r="M33" s="1491"/>
      <c r="N33" s="1491"/>
      <c r="O33" s="1493"/>
      <c r="P33" s="1467"/>
      <c r="Q33" s="1475"/>
      <c r="R33" s="1487"/>
      <c r="S33" s="1467"/>
      <c r="T33" s="1467"/>
      <c r="U33" s="1186"/>
      <c r="V33" s="1187"/>
      <c r="W33" s="1188"/>
      <c r="X33" s="1185"/>
      <c r="Y33" s="1110"/>
      <c r="Z33" s="1110"/>
      <c r="AA33" s="1110"/>
      <c r="AB33" s="1110"/>
    </row>
    <row r="34" spans="1:28" ht="13.5" thickBot="1" x14ac:dyDescent="0.25">
      <c r="A34" s="1158"/>
      <c r="B34" s="1394"/>
      <c r="C34" s="1478"/>
      <c r="D34" s="1444"/>
      <c r="E34" s="1445"/>
      <c r="F34" s="1446"/>
      <c r="G34" s="1444"/>
      <c r="H34" s="1480"/>
      <c r="I34" s="1482"/>
      <c r="J34" s="1484"/>
      <c r="K34" s="1499"/>
      <c r="L34" s="1472"/>
      <c r="M34" s="1500"/>
      <c r="N34" s="1500"/>
      <c r="O34" s="1501"/>
      <c r="P34" s="1484"/>
      <c r="Q34" s="1476"/>
      <c r="R34" s="1498"/>
      <c r="S34" s="1484"/>
      <c r="T34" s="1484"/>
      <c r="U34" s="1455" t="s">
        <v>1297</v>
      </c>
      <c r="V34" s="1456"/>
      <c r="W34" s="1457"/>
      <c r="X34" s="1190">
        <v>1</v>
      </c>
      <c r="Y34" s="1110"/>
      <c r="Z34" s="1110"/>
      <c r="AA34" s="1110"/>
      <c r="AB34" s="1110"/>
    </row>
    <row r="35" spans="1:28" ht="13.5" thickBot="1" x14ac:dyDescent="0.25">
      <c r="A35" s="1158"/>
      <c r="B35" s="1119"/>
      <c r="C35" s="1119"/>
      <c r="D35" s="1119"/>
      <c r="E35" s="1119"/>
      <c r="F35" s="1119"/>
      <c r="G35" s="1119"/>
      <c r="H35" s="1119"/>
      <c r="I35" s="1119"/>
      <c r="J35" s="1505" t="s">
        <v>1298</v>
      </c>
      <c r="K35" s="1506"/>
      <c r="L35" s="1506"/>
      <c r="M35" s="1506"/>
      <c r="N35" s="1506"/>
      <c r="O35" s="1506"/>
      <c r="P35" s="1506"/>
      <c r="Q35" s="1506"/>
      <c r="R35" s="1506"/>
      <c r="S35" s="1507"/>
      <c r="T35" s="1195" t="e">
        <f>(T5*F5+T10*F10+T15*F15+T20*F20+T25*F25+T30*F30)/(F5+F10+F15+F20+F25+F30)</f>
        <v>#DIV/0!</v>
      </c>
      <c r="U35" s="1508" t="s">
        <v>1299</v>
      </c>
      <c r="V35" s="1509"/>
      <c r="W35" s="1510"/>
      <c r="X35" s="1196" t="e">
        <f>(X9*F5+X14*F10+X19*F15+X24*F20+X29*F25+X34*F30)/(F5+F10+F15+F20+F25+F30)</f>
        <v>#DIV/0!</v>
      </c>
      <c r="Y35" s="1110"/>
      <c r="Z35" s="1110"/>
      <c r="AA35" s="1110"/>
      <c r="AB35" s="1110"/>
    </row>
    <row r="36" spans="1:28" ht="13.5" thickBot="1" x14ac:dyDescent="0.25">
      <c r="A36" s="1158"/>
      <c r="B36" s="1159"/>
      <c r="C36" s="1119"/>
      <c r="D36" s="1119"/>
      <c r="E36" s="1119"/>
      <c r="F36" s="1119"/>
      <c r="G36" s="1119"/>
      <c r="H36" s="1119"/>
      <c r="I36" s="1119"/>
      <c r="J36" s="1511" t="s">
        <v>1300</v>
      </c>
      <c r="K36" s="1512"/>
      <c r="L36" s="1512"/>
      <c r="M36" s="1512"/>
      <c r="N36" s="1512"/>
      <c r="O36" s="1512"/>
      <c r="P36" s="1512"/>
      <c r="Q36" s="1512"/>
      <c r="R36" s="1512"/>
      <c r="S36" s="1513"/>
      <c r="T36" s="1514" t="e">
        <f>T35*X35</f>
        <v>#DIV/0!</v>
      </c>
      <c r="U36" s="1514"/>
      <c r="V36" s="1514"/>
      <c r="W36" s="1514"/>
      <c r="X36" s="1515"/>
      <c r="Y36" s="1110"/>
      <c r="Z36" s="1110"/>
      <c r="AA36" s="1110"/>
      <c r="AB36" s="1110"/>
    </row>
    <row r="37" spans="1:28" ht="13.5" thickBot="1" x14ac:dyDescent="0.25">
      <c r="A37" s="1158"/>
      <c r="B37" s="1159"/>
      <c r="C37" s="1119"/>
      <c r="D37" s="1119"/>
      <c r="E37" s="1119"/>
      <c r="F37" s="1119"/>
      <c r="G37" s="1119"/>
      <c r="H37" s="1119"/>
      <c r="I37" s="1119"/>
      <c r="J37" s="1197"/>
      <c r="K37" s="1197"/>
      <c r="L37" s="1197"/>
      <c r="M37" s="1197"/>
      <c r="N37" s="1197"/>
      <c r="O37" s="1197"/>
      <c r="P37" s="1197"/>
      <c r="Q37" s="1197"/>
      <c r="R37" s="1197"/>
      <c r="S37" s="1197"/>
      <c r="T37" s="1198"/>
      <c r="U37" s="1199"/>
      <c r="V37" s="1199"/>
      <c r="W37" s="1199"/>
      <c r="X37" s="1190"/>
      <c r="Y37" s="1110"/>
      <c r="Z37" s="1110"/>
      <c r="AA37" s="1110"/>
      <c r="AB37" s="1110"/>
    </row>
    <row r="38" spans="1:28" ht="13.5" thickBot="1" x14ac:dyDescent="0.25">
      <c r="A38" s="1158"/>
      <c r="B38" s="1159"/>
      <c r="C38" s="1119"/>
      <c r="D38" s="1119"/>
      <c r="E38" s="1119"/>
      <c r="F38" s="1119"/>
      <c r="G38" s="1119"/>
      <c r="H38" s="1119"/>
      <c r="I38" s="1119"/>
      <c r="J38" s="1158"/>
      <c r="K38" s="1158"/>
      <c r="L38" s="1158"/>
      <c r="M38" s="1158"/>
      <c r="N38" s="1158"/>
      <c r="O38" s="1158"/>
      <c r="P38" s="1158"/>
      <c r="Q38" s="1158"/>
      <c r="R38" s="1158"/>
      <c r="S38" s="1110"/>
      <c r="T38" s="1110"/>
      <c r="U38" s="1110"/>
      <c r="V38" s="1110"/>
      <c r="W38" s="1110"/>
      <c r="X38" s="1161"/>
      <c r="Y38" s="1110"/>
      <c r="Z38" s="1110"/>
      <c r="AA38" s="1110"/>
      <c r="AB38" s="1110"/>
    </row>
    <row r="39" spans="1:28" ht="13.5" hidden="1" thickBot="1" x14ac:dyDescent="0.25">
      <c r="A39" s="1158"/>
      <c r="B39" s="1158"/>
      <c r="C39" s="1158"/>
      <c r="D39" s="1158"/>
      <c r="E39" s="1158"/>
      <c r="F39" s="1158"/>
      <c r="G39" s="1429" t="s">
        <v>1282</v>
      </c>
      <c r="H39" s="1430"/>
      <c r="I39" s="1430"/>
      <c r="J39" s="1430"/>
      <c r="K39" s="1431"/>
      <c r="L39" s="1431"/>
      <c r="M39" s="1431"/>
      <c r="N39" s="1431"/>
      <c r="O39" s="1431"/>
      <c r="P39" s="1431"/>
      <c r="Q39" s="1430"/>
      <c r="R39" s="1430"/>
      <c r="S39" s="1430"/>
      <c r="T39" s="1432"/>
      <c r="U39" s="1433" t="s">
        <v>1283</v>
      </c>
      <c r="V39" s="1434"/>
      <c r="W39" s="1434"/>
      <c r="X39" s="1435"/>
      <c r="Y39" s="1110"/>
      <c r="Z39" s="1110"/>
      <c r="AA39" s="1110"/>
      <c r="AB39" s="1110"/>
    </row>
    <row r="40" spans="1:28" ht="13.5" hidden="1" thickBot="1" x14ac:dyDescent="0.25">
      <c r="A40" s="1158"/>
      <c r="B40" s="1200" t="s">
        <v>793</v>
      </c>
      <c r="C40" s="1201" t="s">
        <v>1284</v>
      </c>
      <c r="D40" s="1202"/>
      <c r="E40" s="1202"/>
      <c r="F40" s="1203" t="s">
        <v>1287</v>
      </c>
      <c r="G40" s="1204" t="s">
        <v>1161</v>
      </c>
      <c r="H40" s="1205" t="s">
        <v>339</v>
      </c>
      <c r="I40" s="1206" t="s">
        <v>1164</v>
      </c>
      <c r="J40" s="1169" t="s">
        <v>1288</v>
      </c>
      <c r="K40" s="1170" t="s">
        <v>1289</v>
      </c>
      <c r="L40" s="1171" t="s">
        <v>1176</v>
      </c>
      <c r="M40" s="1171" t="s">
        <v>1178</v>
      </c>
      <c r="N40" s="1171" t="s">
        <v>303</v>
      </c>
      <c r="O40" s="1172" t="s">
        <v>565</v>
      </c>
      <c r="P40" s="1169" t="s">
        <v>1290</v>
      </c>
      <c r="Q40" s="1173" t="s">
        <v>1231</v>
      </c>
      <c r="R40" s="1174" t="s">
        <v>1291</v>
      </c>
      <c r="S40" s="1207" t="s">
        <v>1292</v>
      </c>
      <c r="T40" s="1208" t="s">
        <v>1293</v>
      </c>
      <c r="U40" s="1209" t="s">
        <v>336</v>
      </c>
      <c r="V40" s="1210" t="s">
        <v>337</v>
      </c>
      <c r="W40" s="1211" t="s">
        <v>1294</v>
      </c>
      <c r="X40" s="1177" t="s">
        <v>1158</v>
      </c>
      <c r="Y40" s="1110"/>
      <c r="Z40" s="1110"/>
      <c r="AA40" s="1110"/>
      <c r="AB40" s="1110"/>
    </row>
    <row r="41" spans="1:28" ht="13.5" hidden="1" thickBot="1" x14ac:dyDescent="0.25">
      <c r="A41" s="1158"/>
      <c r="B41" s="1392" t="s">
        <v>300</v>
      </c>
      <c r="C41" s="1477"/>
      <c r="D41" s="1212"/>
      <c r="E41" s="1212"/>
      <c r="F41" s="1477">
        <v>1</v>
      </c>
      <c r="G41" s="1502"/>
      <c r="H41" s="1479"/>
      <c r="I41" s="1481"/>
      <c r="J41" s="1483">
        <v>1</v>
      </c>
      <c r="K41" s="1485" t="s">
        <v>1295</v>
      </c>
      <c r="L41" s="1427"/>
      <c r="M41" s="1427"/>
      <c r="N41" s="1427"/>
      <c r="O41" s="1428"/>
      <c r="P41" s="1483">
        <f>1-O41-O43</f>
        <v>1</v>
      </c>
      <c r="Q41" s="1474"/>
      <c r="R41" s="1497"/>
      <c r="S41" s="1483">
        <v>1</v>
      </c>
      <c r="T41" s="1483">
        <f>J41*P41*S41</f>
        <v>1</v>
      </c>
      <c r="U41" s="1191"/>
      <c r="V41" s="1192"/>
      <c r="W41" s="1193"/>
      <c r="X41" s="1181"/>
      <c r="Y41" s="1110"/>
      <c r="Z41" s="1110"/>
      <c r="AA41" s="1110"/>
      <c r="AB41" s="1110"/>
    </row>
    <row r="42" spans="1:28" ht="13.5" hidden="1" thickBot="1" x14ac:dyDescent="0.25">
      <c r="A42" s="1158"/>
      <c r="B42" s="1393"/>
      <c r="C42" s="1458"/>
      <c r="D42" s="1213"/>
      <c r="E42" s="1213"/>
      <c r="F42" s="1458"/>
      <c r="G42" s="1503"/>
      <c r="H42" s="1462"/>
      <c r="I42" s="1465"/>
      <c r="J42" s="1467"/>
      <c r="K42" s="1469"/>
      <c r="L42" s="1424"/>
      <c r="M42" s="1424"/>
      <c r="N42" s="1424"/>
      <c r="O42" s="1426"/>
      <c r="P42" s="1467"/>
      <c r="Q42" s="1475"/>
      <c r="R42" s="1487"/>
      <c r="S42" s="1467"/>
      <c r="T42" s="1467"/>
      <c r="U42" s="1182"/>
      <c r="V42" s="1183"/>
      <c r="W42" s="1184"/>
      <c r="X42" s="1185"/>
      <c r="Y42" s="1110"/>
      <c r="Z42" s="1110"/>
      <c r="AA42" s="1110"/>
      <c r="AB42" s="1110"/>
    </row>
    <row r="43" spans="1:28" ht="13.5" hidden="1" thickBot="1" x14ac:dyDescent="0.25">
      <c r="A43" s="1158"/>
      <c r="B43" s="1393"/>
      <c r="C43" s="1458"/>
      <c r="D43" s="1213"/>
      <c r="E43" s="1213"/>
      <c r="F43" s="1458"/>
      <c r="G43" s="1503"/>
      <c r="H43" s="1462"/>
      <c r="I43" s="1465"/>
      <c r="J43" s="1467"/>
      <c r="K43" s="1489" t="s">
        <v>1296</v>
      </c>
      <c r="L43" s="1491"/>
      <c r="M43" s="1491"/>
      <c r="N43" s="1491"/>
      <c r="O43" s="1493"/>
      <c r="P43" s="1467"/>
      <c r="Q43" s="1475"/>
      <c r="R43" s="1487"/>
      <c r="S43" s="1467"/>
      <c r="T43" s="1467"/>
      <c r="U43" s="1182"/>
      <c r="V43" s="1183"/>
      <c r="W43" s="1184"/>
      <c r="X43" s="1185"/>
      <c r="Y43" s="1110"/>
      <c r="Z43" s="1110"/>
      <c r="AA43" s="1110"/>
      <c r="AB43" s="1110"/>
    </row>
    <row r="44" spans="1:28" ht="13.5" hidden="1" thickBot="1" x14ac:dyDescent="0.25">
      <c r="A44" s="1158"/>
      <c r="B44" s="1393"/>
      <c r="C44" s="1458"/>
      <c r="D44" s="1213"/>
      <c r="E44" s="1213"/>
      <c r="F44" s="1458"/>
      <c r="G44" s="1503"/>
      <c r="H44" s="1462"/>
      <c r="I44" s="1465"/>
      <c r="J44" s="1467"/>
      <c r="K44" s="1489"/>
      <c r="L44" s="1491"/>
      <c r="M44" s="1491"/>
      <c r="N44" s="1491"/>
      <c r="O44" s="1493"/>
      <c r="P44" s="1467"/>
      <c r="Q44" s="1475"/>
      <c r="R44" s="1487"/>
      <c r="S44" s="1467"/>
      <c r="T44" s="1467"/>
      <c r="U44" s="1186"/>
      <c r="V44" s="1187"/>
      <c r="W44" s="1188"/>
      <c r="X44" s="1185"/>
      <c r="Y44" s="1110"/>
      <c r="Z44" s="1110"/>
      <c r="AA44" s="1110"/>
      <c r="AB44" s="1110"/>
    </row>
    <row r="45" spans="1:28" ht="13.5" hidden="1" thickBot="1" x14ac:dyDescent="0.25">
      <c r="A45" s="1158"/>
      <c r="B45" s="1393"/>
      <c r="C45" s="1478"/>
      <c r="D45" s="1214"/>
      <c r="E45" s="1214"/>
      <c r="F45" s="1478"/>
      <c r="G45" s="1504"/>
      <c r="H45" s="1463"/>
      <c r="I45" s="1466"/>
      <c r="J45" s="1467"/>
      <c r="K45" s="1490"/>
      <c r="L45" s="1492"/>
      <c r="M45" s="1492"/>
      <c r="N45" s="1492"/>
      <c r="O45" s="1494"/>
      <c r="P45" s="1467"/>
      <c r="Q45" s="1496"/>
      <c r="R45" s="1488"/>
      <c r="S45" s="1467"/>
      <c r="T45" s="1467"/>
      <c r="U45" s="1455" t="s">
        <v>1297</v>
      </c>
      <c r="V45" s="1456"/>
      <c r="W45" s="1457"/>
      <c r="X45" s="1190">
        <v>1</v>
      </c>
      <c r="Y45" s="1110"/>
      <c r="Z45" s="1110"/>
      <c r="AA45" s="1110"/>
      <c r="AB45" s="1110"/>
    </row>
    <row r="46" spans="1:28" ht="13.5" hidden="1" thickBot="1" x14ac:dyDescent="0.25">
      <c r="A46" s="1158"/>
      <c r="B46" s="1393"/>
      <c r="C46" s="1477"/>
      <c r="D46" s="1212"/>
      <c r="E46" s="1212"/>
      <c r="F46" s="1477">
        <v>1</v>
      </c>
      <c r="G46" s="1502"/>
      <c r="H46" s="1479"/>
      <c r="I46" s="1481"/>
      <c r="J46" s="1483">
        <v>1</v>
      </c>
      <c r="K46" s="1485" t="s">
        <v>1295</v>
      </c>
      <c r="L46" s="1427"/>
      <c r="M46" s="1427"/>
      <c r="N46" s="1427"/>
      <c r="O46" s="1428"/>
      <c r="P46" s="1483">
        <f>1-O46-O48</f>
        <v>1</v>
      </c>
      <c r="Q46" s="1474"/>
      <c r="R46" s="1497"/>
      <c r="S46" s="1483">
        <v>1</v>
      </c>
      <c r="T46" s="1483">
        <f>J46*P46*S46</f>
        <v>1</v>
      </c>
      <c r="U46" s="1191"/>
      <c r="V46" s="1192"/>
      <c r="W46" s="1193"/>
      <c r="X46" s="1181"/>
      <c r="Y46" s="1110"/>
      <c r="Z46" s="1110"/>
      <c r="AA46" s="1110"/>
      <c r="AB46" s="1110"/>
    </row>
    <row r="47" spans="1:28" ht="13.5" hidden="1" thickBot="1" x14ac:dyDescent="0.25">
      <c r="A47" s="1158"/>
      <c r="B47" s="1393"/>
      <c r="C47" s="1458"/>
      <c r="D47" s="1213"/>
      <c r="E47" s="1213"/>
      <c r="F47" s="1458"/>
      <c r="G47" s="1503"/>
      <c r="H47" s="1462"/>
      <c r="I47" s="1465"/>
      <c r="J47" s="1467"/>
      <c r="K47" s="1469"/>
      <c r="L47" s="1424"/>
      <c r="M47" s="1424"/>
      <c r="N47" s="1424"/>
      <c r="O47" s="1426"/>
      <c r="P47" s="1467"/>
      <c r="Q47" s="1475"/>
      <c r="R47" s="1487"/>
      <c r="S47" s="1467"/>
      <c r="T47" s="1467"/>
      <c r="U47" s="1182"/>
      <c r="V47" s="1183"/>
      <c r="W47" s="1184"/>
      <c r="X47" s="1185"/>
      <c r="Y47" s="1110"/>
      <c r="Z47" s="1110"/>
      <c r="AA47" s="1110"/>
      <c r="AB47" s="1110"/>
    </row>
    <row r="48" spans="1:28" ht="13.5" hidden="1" thickBot="1" x14ac:dyDescent="0.25">
      <c r="A48" s="1158"/>
      <c r="B48" s="1393"/>
      <c r="C48" s="1458"/>
      <c r="D48" s="1213"/>
      <c r="E48" s="1213"/>
      <c r="F48" s="1458"/>
      <c r="G48" s="1503"/>
      <c r="H48" s="1462"/>
      <c r="I48" s="1465"/>
      <c r="J48" s="1467"/>
      <c r="K48" s="1489" t="s">
        <v>1296</v>
      </c>
      <c r="L48" s="1491"/>
      <c r="M48" s="1491"/>
      <c r="N48" s="1491"/>
      <c r="O48" s="1493"/>
      <c r="P48" s="1467"/>
      <c r="Q48" s="1475"/>
      <c r="R48" s="1487"/>
      <c r="S48" s="1467"/>
      <c r="T48" s="1467"/>
      <c r="U48" s="1182"/>
      <c r="V48" s="1183"/>
      <c r="W48" s="1184"/>
      <c r="X48" s="1185"/>
      <c r="Y48" s="1110"/>
      <c r="Z48" s="1110"/>
      <c r="AA48" s="1110"/>
      <c r="AB48" s="1110"/>
    </row>
    <row r="49" spans="1:28" ht="13.5" hidden="1" thickBot="1" x14ac:dyDescent="0.25">
      <c r="A49" s="1158"/>
      <c r="B49" s="1393"/>
      <c r="C49" s="1458"/>
      <c r="D49" s="1213"/>
      <c r="E49" s="1213"/>
      <c r="F49" s="1458"/>
      <c r="G49" s="1503"/>
      <c r="H49" s="1462"/>
      <c r="I49" s="1465"/>
      <c r="J49" s="1467"/>
      <c r="K49" s="1489"/>
      <c r="L49" s="1491"/>
      <c r="M49" s="1491"/>
      <c r="N49" s="1491"/>
      <c r="O49" s="1493"/>
      <c r="P49" s="1467"/>
      <c r="Q49" s="1475"/>
      <c r="R49" s="1487"/>
      <c r="S49" s="1467"/>
      <c r="T49" s="1467"/>
      <c r="U49" s="1186"/>
      <c r="V49" s="1187"/>
      <c r="W49" s="1188"/>
      <c r="X49" s="1185"/>
      <c r="Y49" s="1110"/>
      <c r="Z49" s="1110"/>
      <c r="AA49" s="1110"/>
      <c r="AB49" s="1110"/>
    </row>
    <row r="50" spans="1:28" ht="13.5" hidden="1" thickBot="1" x14ac:dyDescent="0.25">
      <c r="A50" s="1158"/>
      <c r="B50" s="1393"/>
      <c r="C50" s="1478"/>
      <c r="D50" s="1214"/>
      <c r="E50" s="1214"/>
      <c r="F50" s="1478"/>
      <c r="G50" s="1516"/>
      <c r="H50" s="1480"/>
      <c r="I50" s="1482"/>
      <c r="J50" s="1484"/>
      <c r="K50" s="1499"/>
      <c r="L50" s="1500"/>
      <c r="M50" s="1500"/>
      <c r="N50" s="1500"/>
      <c r="O50" s="1501"/>
      <c r="P50" s="1484"/>
      <c r="Q50" s="1476"/>
      <c r="R50" s="1498"/>
      <c r="S50" s="1484"/>
      <c r="T50" s="1484"/>
      <c r="U50" s="1455" t="s">
        <v>1297</v>
      </c>
      <c r="V50" s="1456"/>
      <c r="W50" s="1457"/>
      <c r="X50" s="1190">
        <v>1</v>
      </c>
      <c r="Y50" s="1110"/>
      <c r="Z50" s="1110"/>
      <c r="AA50" s="1110"/>
      <c r="AB50" s="1110"/>
    </row>
    <row r="51" spans="1:28" ht="13.5" hidden="1" thickBot="1" x14ac:dyDescent="0.25">
      <c r="A51" s="1158"/>
      <c r="B51" s="1393"/>
      <c r="C51" s="1477"/>
      <c r="D51" s="1212"/>
      <c r="E51" s="1212"/>
      <c r="F51" s="1477">
        <v>1</v>
      </c>
      <c r="G51" s="1517"/>
      <c r="H51" s="1461"/>
      <c r="I51" s="1464"/>
      <c r="J51" s="1467">
        <v>1</v>
      </c>
      <c r="K51" s="1468" t="s">
        <v>1295</v>
      </c>
      <c r="L51" s="1423"/>
      <c r="M51" s="1423"/>
      <c r="N51" s="1423"/>
      <c r="O51" s="1425"/>
      <c r="P51" s="1467">
        <f>1-O51-O53</f>
        <v>1</v>
      </c>
      <c r="Q51" s="1495"/>
      <c r="R51" s="1486"/>
      <c r="S51" s="1467">
        <v>1</v>
      </c>
      <c r="T51" s="1467">
        <f>J51*P51*S51</f>
        <v>1</v>
      </c>
      <c r="U51" s="1191"/>
      <c r="V51" s="1192"/>
      <c r="W51" s="1193"/>
      <c r="X51" s="1181"/>
      <c r="Y51" s="1110"/>
      <c r="Z51" s="1110"/>
      <c r="AA51" s="1110"/>
      <c r="AB51" s="1110"/>
    </row>
    <row r="52" spans="1:28" ht="13.5" hidden="1" thickBot="1" x14ac:dyDescent="0.25">
      <c r="A52" s="1158"/>
      <c r="B52" s="1393"/>
      <c r="C52" s="1458"/>
      <c r="D52" s="1213"/>
      <c r="E52" s="1213"/>
      <c r="F52" s="1458"/>
      <c r="G52" s="1503"/>
      <c r="H52" s="1462"/>
      <c r="I52" s="1465"/>
      <c r="J52" s="1467"/>
      <c r="K52" s="1469"/>
      <c r="L52" s="1424"/>
      <c r="M52" s="1424"/>
      <c r="N52" s="1424"/>
      <c r="O52" s="1426"/>
      <c r="P52" s="1467"/>
      <c r="Q52" s="1475"/>
      <c r="R52" s="1487"/>
      <c r="S52" s="1467"/>
      <c r="T52" s="1467"/>
      <c r="U52" s="1182"/>
      <c r="V52" s="1183"/>
      <c r="W52" s="1184"/>
      <c r="X52" s="1185"/>
      <c r="Y52" s="1110"/>
      <c r="Z52" s="1110"/>
      <c r="AA52" s="1110"/>
      <c r="AB52" s="1110"/>
    </row>
    <row r="53" spans="1:28" ht="13.5" hidden="1" thickBot="1" x14ac:dyDescent="0.25">
      <c r="A53" s="1158"/>
      <c r="B53" s="1393"/>
      <c r="C53" s="1458"/>
      <c r="D53" s="1213"/>
      <c r="E53" s="1213"/>
      <c r="F53" s="1458"/>
      <c r="G53" s="1503"/>
      <c r="H53" s="1462"/>
      <c r="I53" s="1465"/>
      <c r="J53" s="1467"/>
      <c r="K53" s="1489" t="s">
        <v>1296</v>
      </c>
      <c r="L53" s="1491"/>
      <c r="M53" s="1491"/>
      <c r="N53" s="1491"/>
      <c r="O53" s="1493"/>
      <c r="P53" s="1467"/>
      <c r="Q53" s="1475"/>
      <c r="R53" s="1487"/>
      <c r="S53" s="1467"/>
      <c r="T53" s="1467"/>
      <c r="U53" s="1182"/>
      <c r="V53" s="1183"/>
      <c r="W53" s="1184"/>
      <c r="X53" s="1185"/>
      <c r="Y53" s="1110"/>
      <c r="Z53" s="1110"/>
      <c r="AA53" s="1110"/>
      <c r="AB53" s="1110"/>
    </row>
    <row r="54" spans="1:28" ht="13.5" hidden="1" thickBot="1" x14ac:dyDescent="0.25">
      <c r="A54" s="1158"/>
      <c r="B54" s="1393"/>
      <c r="C54" s="1458"/>
      <c r="D54" s="1213"/>
      <c r="E54" s="1213"/>
      <c r="F54" s="1458"/>
      <c r="G54" s="1503"/>
      <c r="H54" s="1462"/>
      <c r="I54" s="1465"/>
      <c r="J54" s="1467"/>
      <c r="K54" s="1489"/>
      <c r="L54" s="1491"/>
      <c r="M54" s="1491"/>
      <c r="N54" s="1491"/>
      <c r="O54" s="1493"/>
      <c r="P54" s="1467"/>
      <c r="Q54" s="1475"/>
      <c r="R54" s="1487"/>
      <c r="S54" s="1467"/>
      <c r="T54" s="1467"/>
      <c r="U54" s="1186"/>
      <c r="V54" s="1187"/>
      <c r="W54" s="1188"/>
      <c r="X54" s="1185"/>
      <c r="Y54" s="1110"/>
      <c r="Z54" s="1110"/>
      <c r="AA54" s="1110"/>
      <c r="AB54" s="1110"/>
    </row>
    <row r="55" spans="1:28" ht="13.5" hidden="1" thickBot="1" x14ac:dyDescent="0.25">
      <c r="A55" s="1158"/>
      <c r="B55" s="1393"/>
      <c r="C55" s="1478"/>
      <c r="D55" s="1214"/>
      <c r="E55" s="1214"/>
      <c r="F55" s="1478"/>
      <c r="G55" s="1504"/>
      <c r="H55" s="1463"/>
      <c r="I55" s="1466"/>
      <c r="J55" s="1467"/>
      <c r="K55" s="1490"/>
      <c r="L55" s="1492"/>
      <c r="M55" s="1492"/>
      <c r="N55" s="1492"/>
      <c r="O55" s="1494"/>
      <c r="P55" s="1467"/>
      <c r="Q55" s="1496"/>
      <c r="R55" s="1488"/>
      <c r="S55" s="1467"/>
      <c r="T55" s="1467"/>
      <c r="U55" s="1455" t="s">
        <v>1297</v>
      </c>
      <c r="V55" s="1456"/>
      <c r="W55" s="1457"/>
      <c r="X55" s="1190">
        <v>1</v>
      </c>
      <c r="Y55" s="1110"/>
      <c r="Z55" s="1110"/>
      <c r="AA55" s="1110"/>
      <c r="AB55" s="1110"/>
    </row>
    <row r="56" spans="1:28" ht="13.5" hidden="1" thickBot="1" x14ac:dyDescent="0.25">
      <c r="A56" s="1158"/>
      <c r="B56" s="1393"/>
      <c r="C56" s="1477"/>
      <c r="D56" s="1212"/>
      <c r="E56" s="1212"/>
      <c r="F56" s="1477">
        <v>1</v>
      </c>
      <c r="G56" s="1502"/>
      <c r="H56" s="1479"/>
      <c r="I56" s="1481"/>
      <c r="J56" s="1483">
        <v>1</v>
      </c>
      <c r="K56" s="1485" t="s">
        <v>1295</v>
      </c>
      <c r="L56" s="1427"/>
      <c r="M56" s="1427"/>
      <c r="N56" s="1427"/>
      <c r="O56" s="1428"/>
      <c r="P56" s="1483">
        <f>1-O56-O58</f>
        <v>1</v>
      </c>
      <c r="Q56" s="1474"/>
      <c r="R56" s="1497"/>
      <c r="S56" s="1483">
        <v>1</v>
      </c>
      <c r="T56" s="1483">
        <f>J56*P56*S56</f>
        <v>1</v>
      </c>
      <c r="U56" s="1191"/>
      <c r="V56" s="1192"/>
      <c r="W56" s="1193"/>
      <c r="X56" s="1181"/>
      <c r="Y56" s="1110"/>
      <c r="Z56" s="1110"/>
      <c r="AA56" s="1110"/>
      <c r="AB56" s="1110"/>
    </row>
    <row r="57" spans="1:28" ht="13.5" hidden="1" thickBot="1" x14ac:dyDescent="0.25">
      <c r="A57" s="1158"/>
      <c r="B57" s="1393"/>
      <c r="C57" s="1458"/>
      <c r="D57" s="1213"/>
      <c r="E57" s="1213"/>
      <c r="F57" s="1458"/>
      <c r="G57" s="1503"/>
      <c r="H57" s="1462"/>
      <c r="I57" s="1465"/>
      <c r="J57" s="1467"/>
      <c r="K57" s="1469"/>
      <c r="L57" s="1424"/>
      <c r="M57" s="1424"/>
      <c r="N57" s="1424"/>
      <c r="O57" s="1426"/>
      <c r="P57" s="1467"/>
      <c r="Q57" s="1475"/>
      <c r="R57" s="1487"/>
      <c r="S57" s="1467"/>
      <c r="T57" s="1467"/>
      <c r="U57" s="1182"/>
      <c r="V57" s="1183"/>
      <c r="W57" s="1184"/>
      <c r="X57" s="1185"/>
      <c r="Y57" s="1110"/>
      <c r="Z57" s="1110"/>
      <c r="AA57" s="1110"/>
      <c r="AB57" s="1110"/>
    </row>
    <row r="58" spans="1:28" ht="13.5" hidden="1" thickBot="1" x14ac:dyDescent="0.25">
      <c r="A58" s="1158"/>
      <c r="B58" s="1393"/>
      <c r="C58" s="1458"/>
      <c r="D58" s="1213"/>
      <c r="E58" s="1213"/>
      <c r="F58" s="1458"/>
      <c r="G58" s="1503"/>
      <c r="H58" s="1462"/>
      <c r="I58" s="1465"/>
      <c r="J58" s="1467"/>
      <c r="K58" s="1489" t="s">
        <v>1296</v>
      </c>
      <c r="L58" s="1491"/>
      <c r="M58" s="1491"/>
      <c r="N58" s="1491"/>
      <c r="O58" s="1493"/>
      <c r="P58" s="1467"/>
      <c r="Q58" s="1475"/>
      <c r="R58" s="1487"/>
      <c r="S58" s="1467"/>
      <c r="T58" s="1467"/>
      <c r="U58" s="1182"/>
      <c r="V58" s="1183"/>
      <c r="W58" s="1184"/>
      <c r="X58" s="1185"/>
      <c r="Y58" s="1110"/>
      <c r="Z58" s="1110"/>
      <c r="AA58" s="1110"/>
      <c r="AB58" s="1110"/>
    </row>
    <row r="59" spans="1:28" ht="13.5" hidden="1" thickBot="1" x14ac:dyDescent="0.25">
      <c r="A59" s="1158"/>
      <c r="B59" s="1393"/>
      <c r="C59" s="1458"/>
      <c r="D59" s="1213"/>
      <c r="E59" s="1213"/>
      <c r="F59" s="1458"/>
      <c r="G59" s="1503"/>
      <c r="H59" s="1462"/>
      <c r="I59" s="1465"/>
      <c r="J59" s="1467"/>
      <c r="K59" s="1489"/>
      <c r="L59" s="1491"/>
      <c r="M59" s="1491"/>
      <c r="N59" s="1491"/>
      <c r="O59" s="1493"/>
      <c r="P59" s="1467"/>
      <c r="Q59" s="1475"/>
      <c r="R59" s="1487"/>
      <c r="S59" s="1467"/>
      <c r="T59" s="1467"/>
      <c r="U59" s="1186"/>
      <c r="V59" s="1187"/>
      <c r="W59" s="1188"/>
      <c r="X59" s="1185"/>
      <c r="Y59" s="1110"/>
      <c r="Z59" s="1110"/>
      <c r="AA59" s="1110"/>
      <c r="AB59" s="1110"/>
    </row>
    <row r="60" spans="1:28" ht="13.5" hidden="1" thickBot="1" x14ac:dyDescent="0.25">
      <c r="A60" s="1158"/>
      <c r="B60" s="1393"/>
      <c r="C60" s="1478"/>
      <c r="D60" s="1214"/>
      <c r="E60" s="1214"/>
      <c r="F60" s="1478"/>
      <c r="G60" s="1516"/>
      <c r="H60" s="1480"/>
      <c r="I60" s="1482"/>
      <c r="J60" s="1484"/>
      <c r="K60" s="1499"/>
      <c r="L60" s="1500"/>
      <c r="M60" s="1500"/>
      <c r="N60" s="1500"/>
      <c r="O60" s="1501"/>
      <c r="P60" s="1484"/>
      <c r="Q60" s="1476"/>
      <c r="R60" s="1498"/>
      <c r="S60" s="1484"/>
      <c r="T60" s="1484"/>
      <c r="U60" s="1455" t="s">
        <v>1297</v>
      </c>
      <c r="V60" s="1456"/>
      <c r="W60" s="1457"/>
      <c r="X60" s="1190">
        <v>1</v>
      </c>
      <c r="Y60" s="1110"/>
      <c r="Z60" s="1110"/>
      <c r="AA60" s="1110"/>
      <c r="AB60" s="1110"/>
    </row>
    <row r="61" spans="1:28" ht="13.5" hidden="1" thickBot="1" x14ac:dyDescent="0.25">
      <c r="A61" s="1158"/>
      <c r="B61" s="1393"/>
      <c r="C61" s="1477"/>
      <c r="D61" s="1212"/>
      <c r="E61" s="1212"/>
      <c r="F61" s="1477">
        <v>1</v>
      </c>
      <c r="G61" s="1517"/>
      <c r="H61" s="1461"/>
      <c r="I61" s="1464"/>
      <c r="J61" s="1467">
        <v>1</v>
      </c>
      <c r="K61" s="1468" t="s">
        <v>1295</v>
      </c>
      <c r="L61" s="1423"/>
      <c r="M61" s="1423"/>
      <c r="N61" s="1423"/>
      <c r="O61" s="1425"/>
      <c r="P61" s="1467">
        <f>1-O61-O63</f>
        <v>1</v>
      </c>
      <c r="Q61" s="1495"/>
      <c r="R61" s="1486"/>
      <c r="S61" s="1467">
        <v>1</v>
      </c>
      <c r="T61" s="1467">
        <f>J61*P61*S61</f>
        <v>1</v>
      </c>
      <c r="U61" s="1191"/>
      <c r="V61" s="1192"/>
      <c r="W61" s="1193"/>
      <c r="X61" s="1181"/>
      <c r="Y61" s="1110"/>
      <c r="Z61" s="1110"/>
      <c r="AA61" s="1110"/>
      <c r="AB61" s="1110"/>
    </row>
    <row r="62" spans="1:28" ht="13.5" hidden="1" thickBot="1" x14ac:dyDescent="0.25">
      <c r="A62" s="1158"/>
      <c r="B62" s="1393"/>
      <c r="C62" s="1458"/>
      <c r="D62" s="1213"/>
      <c r="E62" s="1213"/>
      <c r="F62" s="1458"/>
      <c r="G62" s="1503"/>
      <c r="H62" s="1462"/>
      <c r="I62" s="1465"/>
      <c r="J62" s="1467"/>
      <c r="K62" s="1469"/>
      <c r="L62" s="1424"/>
      <c r="M62" s="1424"/>
      <c r="N62" s="1424"/>
      <c r="O62" s="1426"/>
      <c r="P62" s="1467"/>
      <c r="Q62" s="1475"/>
      <c r="R62" s="1487"/>
      <c r="S62" s="1467"/>
      <c r="T62" s="1467"/>
      <c r="U62" s="1182"/>
      <c r="V62" s="1183"/>
      <c r="W62" s="1184"/>
      <c r="X62" s="1185"/>
      <c r="Y62" s="1110"/>
      <c r="Z62" s="1110"/>
      <c r="AA62" s="1110"/>
      <c r="AB62" s="1110"/>
    </row>
    <row r="63" spans="1:28" ht="13.5" hidden="1" thickBot="1" x14ac:dyDescent="0.25">
      <c r="A63" s="1158"/>
      <c r="B63" s="1393"/>
      <c r="C63" s="1458"/>
      <c r="D63" s="1213"/>
      <c r="E63" s="1213"/>
      <c r="F63" s="1458"/>
      <c r="G63" s="1503"/>
      <c r="H63" s="1462"/>
      <c r="I63" s="1465"/>
      <c r="J63" s="1467"/>
      <c r="K63" s="1489" t="s">
        <v>1296</v>
      </c>
      <c r="L63" s="1491"/>
      <c r="M63" s="1491"/>
      <c r="N63" s="1491"/>
      <c r="O63" s="1493"/>
      <c r="P63" s="1467"/>
      <c r="Q63" s="1475"/>
      <c r="R63" s="1487"/>
      <c r="S63" s="1467"/>
      <c r="T63" s="1467"/>
      <c r="U63" s="1182"/>
      <c r="V63" s="1183"/>
      <c r="W63" s="1184"/>
      <c r="X63" s="1185"/>
      <c r="Y63" s="1110"/>
      <c r="Z63" s="1110"/>
      <c r="AA63" s="1110"/>
      <c r="AB63" s="1110"/>
    </row>
    <row r="64" spans="1:28" ht="13.5" hidden="1" thickBot="1" x14ac:dyDescent="0.25">
      <c r="A64" s="1158"/>
      <c r="B64" s="1393"/>
      <c r="C64" s="1458"/>
      <c r="D64" s="1213"/>
      <c r="E64" s="1213"/>
      <c r="F64" s="1458"/>
      <c r="G64" s="1503"/>
      <c r="H64" s="1462"/>
      <c r="I64" s="1465"/>
      <c r="J64" s="1467"/>
      <c r="K64" s="1489"/>
      <c r="L64" s="1491"/>
      <c r="M64" s="1491"/>
      <c r="N64" s="1491"/>
      <c r="O64" s="1493"/>
      <c r="P64" s="1467"/>
      <c r="Q64" s="1475"/>
      <c r="R64" s="1487"/>
      <c r="S64" s="1467"/>
      <c r="T64" s="1467"/>
      <c r="U64" s="1186"/>
      <c r="V64" s="1187"/>
      <c r="W64" s="1188"/>
      <c r="X64" s="1185"/>
      <c r="Y64" s="1110"/>
      <c r="Z64" s="1110"/>
      <c r="AA64" s="1110"/>
      <c r="AB64" s="1110"/>
    </row>
    <row r="65" spans="1:28" ht="13.5" hidden="1" thickBot="1" x14ac:dyDescent="0.25">
      <c r="A65" s="1158"/>
      <c r="B65" s="1393"/>
      <c r="C65" s="1478"/>
      <c r="D65" s="1214"/>
      <c r="E65" s="1214"/>
      <c r="F65" s="1478"/>
      <c r="G65" s="1504"/>
      <c r="H65" s="1463"/>
      <c r="I65" s="1466"/>
      <c r="J65" s="1467"/>
      <c r="K65" s="1490"/>
      <c r="L65" s="1492"/>
      <c r="M65" s="1492"/>
      <c r="N65" s="1492"/>
      <c r="O65" s="1494"/>
      <c r="P65" s="1467"/>
      <c r="Q65" s="1496"/>
      <c r="R65" s="1488"/>
      <c r="S65" s="1467"/>
      <c r="T65" s="1467"/>
      <c r="U65" s="1455" t="s">
        <v>1297</v>
      </c>
      <c r="V65" s="1456"/>
      <c r="W65" s="1457"/>
      <c r="X65" s="1190">
        <v>1</v>
      </c>
      <c r="Y65" s="1110"/>
      <c r="Z65" s="1110"/>
      <c r="AA65" s="1110"/>
      <c r="AB65" s="1110"/>
    </row>
    <row r="66" spans="1:28" ht="13.5" hidden="1" thickBot="1" x14ac:dyDescent="0.25">
      <c r="A66" s="1158"/>
      <c r="B66" s="1393"/>
      <c r="C66" s="1477"/>
      <c r="D66" s="1212"/>
      <c r="E66" s="1212"/>
      <c r="F66" s="1477">
        <v>1</v>
      </c>
      <c r="G66" s="1502"/>
      <c r="H66" s="1479"/>
      <c r="I66" s="1481"/>
      <c r="J66" s="1483">
        <v>1</v>
      </c>
      <c r="K66" s="1485" t="s">
        <v>1295</v>
      </c>
      <c r="L66" s="1427"/>
      <c r="M66" s="1427"/>
      <c r="N66" s="1427"/>
      <c r="O66" s="1428"/>
      <c r="P66" s="1483">
        <f>1-O66-O68</f>
        <v>1</v>
      </c>
      <c r="Q66" s="1474"/>
      <c r="R66" s="1497"/>
      <c r="S66" s="1483">
        <v>1</v>
      </c>
      <c r="T66" s="1483">
        <f>J66*P66*S66</f>
        <v>1</v>
      </c>
      <c r="U66" s="1191"/>
      <c r="V66" s="1192"/>
      <c r="W66" s="1193"/>
      <c r="X66" s="1181"/>
      <c r="Y66" s="1110"/>
      <c r="Z66" s="1110"/>
      <c r="AA66" s="1110"/>
      <c r="AB66" s="1110"/>
    </row>
    <row r="67" spans="1:28" ht="13.5" hidden="1" thickBot="1" x14ac:dyDescent="0.25">
      <c r="A67" s="1158"/>
      <c r="B67" s="1393"/>
      <c r="C67" s="1458"/>
      <c r="D67" s="1213"/>
      <c r="E67" s="1213"/>
      <c r="F67" s="1458"/>
      <c r="G67" s="1503"/>
      <c r="H67" s="1462"/>
      <c r="I67" s="1465"/>
      <c r="J67" s="1467"/>
      <c r="K67" s="1469"/>
      <c r="L67" s="1424"/>
      <c r="M67" s="1424"/>
      <c r="N67" s="1424"/>
      <c r="O67" s="1426"/>
      <c r="P67" s="1467"/>
      <c r="Q67" s="1475"/>
      <c r="R67" s="1487"/>
      <c r="S67" s="1467"/>
      <c r="T67" s="1467"/>
      <c r="U67" s="1182"/>
      <c r="V67" s="1183"/>
      <c r="W67" s="1184"/>
      <c r="X67" s="1185"/>
      <c r="Y67" s="1110"/>
      <c r="Z67" s="1110"/>
      <c r="AA67" s="1110"/>
      <c r="AB67" s="1110"/>
    </row>
    <row r="68" spans="1:28" ht="13.5" hidden="1" thickBot="1" x14ac:dyDescent="0.25">
      <c r="A68" s="1158"/>
      <c r="B68" s="1393"/>
      <c r="C68" s="1458"/>
      <c r="D68" s="1213"/>
      <c r="E68" s="1213"/>
      <c r="F68" s="1458"/>
      <c r="G68" s="1503"/>
      <c r="H68" s="1462"/>
      <c r="I68" s="1465"/>
      <c r="J68" s="1467"/>
      <c r="K68" s="1489" t="s">
        <v>1296</v>
      </c>
      <c r="L68" s="1491"/>
      <c r="M68" s="1491"/>
      <c r="N68" s="1491"/>
      <c r="O68" s="1493"/>
      <c r="P68" s="1467"/>
      <c r="Q68" s="1475"/>
      <c r="R68" s="1487"/>
      <c r="S68" s="1467"/>
      <c r="T68" s="1467"/>
      <c r="U68" s="1182"/>
      <c r="V68" s="1183"/>
      <c r="W68" s="1184"/>
      <c r="X68" s="1185"/>
      <c r="Y68" s="1110"/>
      <c r="Z68" s="1110"/>
      <c r="AA68" s="1110"/>
      <c r="AB68" s="1110"/>
    </row>
    <row r="69" spans="1:28" ht="13.5" hidden="1" thickBot="1" x14ac:dyDescent="0.25">
      <c r="A69" s="1158"/>
      <c r="B69" s="1393"/>
      <c r="C69" s="1458"/>
      <c r="D69" s="1213"/>
      <c r="E69" s="1213"/>
      <c r="F69" s="1458"/>
      <c r="G69" s="1503"/>
      <c r="H69" s="1462"/>
      <c r="I69" s="1465"/>
      <c r="J69" s="1467"/>
      <c r="K69" s="1489"/>
      <c r="L69" s="1491"/>
      <c r="M69" s="1491"/>
      <c r="N69" s="1491"/>
      <c r="O69" s="1493"/>
      <c r="P69" s="1467"/>
      <c r="Q69" s="1475"/>
      <c r="R69" s="1487"/>
      <c r="S69" s="1467"/>
      <c r="T69" s="1467"/>
      <c r="U69" s="1186"/>
      <c r="V69" s="1187"/>
      <c r="W69" s="1188"/>
      <c r="X69" s="1185"/>
      <c r="Y69" s="1110"/>
      <c r="Z69" s="1110"/>
      <c r="AA69" s="1110"/>
      <c r="AB69" s="1110"/>
    </row>
    <row r="70" spans="1:28" ht="13.5" hidden="1" thickBot="1" x14ac:dyDescent="0.25">
      <c r="A70" s="1158"/>
      <c r="B70" s="1394"/>
      <c r="C70" s="1478"/>
      <c r="D70" s="1214"/>
      <c r="E70" s="1214"/>
      <c r="F70" s="1478"/>
      <c r="G70" s="1516"/>
      <c r="H70" s="1480"/>
      <c r="I70" s="1482"/>
      <c r="J70" s="1484"/>
      <c r="K70" s="1499"/>
      <c r="L70" s="1500"/>
      <c r="M70" s="1500"/>
      <c r="N70" s="1500"/>
      <c r="O70" s="1501"/>
      <c r="P70" s="1484"/>
      <c r="Q70" s="1476"/>
      <c r="R70" s="1498"/>
      <c r="S70" s="1484"/>
      <c r="T70" s="1484"/>
      <c r="U70" s="1455" t="s">
        <v>1297</v>
      </c>
      <c r="V70" s="1456"/>
      <c r="W70" s="1457"/>
      <c r="X70" s="1190">
        <v>1</v>
      </c>
      <c r="Y70" s="1110"/>
      <c r="Z70" s="1110"/>
      <c r="AA70" s="1110"/>
      <c r="AB70" s="1110"/>
    </row>
    <row r="71" spans="1:28" ht="13.5" hidden="1" thickBot="1" x14ac:dyDescent="0.25">
      <c r="A71" s="1158"/>
      <c r="B71" s="1119"/>
      <c r="C71" s="1119"/>
      <c r="D71" s="1119"/>
      <c r="E71" s="1119"/>
      <c r="F71" s="1119"/>
      <c r="G71" s="1119"/>
      <c r="H71" s="1119"/>
      <c r="I71" s="1119"/>
      <c r="J71" s="1505" t="s">
        <v>1298</v>
      </c>
      <c r="K71" s="1506"/>
      <c r="L71" s="1506"/>
      <c r="M71" s="1506"/>
      <c r="N71" s="1506"/>
      <c r="O71" s="1506"/>
      <c r="P71" s="1506"/>
      <c r="Q71" s="1506"/>
      <c r="R71" s="1506"/>
      <c r="S71" s="1507"/>
      <c r="T71" s="1215">
        <f>(T41*F41+T46*F46+T51*F51+T56*F56+T61*F61+T66*F66)/(F41+F46+F51+F56+F61+F66)</f>
        <v>1</v>
      </c>
      <c r="U71" s="1455" t="s">
        <v>1299</v>
      </c>
      <c r="V71" s="1456"/>
      <c r="W71" s="1457"/>
      <c r="X71" s="1216">
        <f>(X45*F41+X50*F46+X55*F51+X60*F56+X65*F61+X70*F66)/(F41+F46+F51+F56+F61+F66)</f>
        <v>1</v>
      </c>
      <c r="Y71" s="1110"/>
      <c r="Z71" s="1110"/>
      <c r="AA71" s="1110"/>
      <c r="AB71" s="1110"/>
    </row>
    <row r="72" spans="1:28" ht="13.5" hidden="1" thickBot="1" x14ac:dyDescent="0.25">
      <c r="A72" s="1158"/>
      <c r="B72" s="1159"/>
      <c r="C72" s="1119"/>
      <c r="D72" s="1119"/>
      <c r="E72" s="1119"/>
      <c r="F72" s="1119"/>
      <c r="G72" s="1119"/>
      <c r="H72" s="1119"/>
      <c r="I72" s="1119"/>
      <c r="J72" s="1511" t="s">
        <v>1300</v>
      </c>
      <c r="K72" s="1512"/>
      <c r="L72" s="1512"/>
      <c r="M72" s="1512"/>
      <c r="N72" s="1512"/>
      <c r="O72" s="1512"/>
      <c r="P72" s="1512"/>
      <c r="Q72" s="1512"/>
      <c r="R72" s="1512"/>
      <c r="S72" s="1513"/>
      <c r="T72" s="1514">
        <f>T71*X71</f>
        <v>1</v>
      </c>
      <c r="U72" s="1514"/>
      <c r="V72" s="1514"/>
      <c r="W72" s="1514"/>
      <c r="X72" s="1515"/>
      <c r="Y72" s="1110"/>
      <c r="Z72" s="1110"/>
      <c r="AA72" s="1110"/>
      <c r="AB72" s="1110"/>
    </row>
    <row r="73" spans="1:28" ht="13.5" hidden="1" thickBot="1" x14ac:dyDescent="0.25">
      <c r="A73" s="1158"/>
      <c r="B73" s="1159"/>
      <c r="C73" s="1119"/>
      <c r="D73" s="1119"/>
      <c r="E73" s="1119"/>
      <c r="F73" s="1119"/>
      <c r="G73" s="1119"/>
      <c r="H73" s="1119"/>
      <c r="I73" s="1119"/>
      <c r="J73" s="1158"/>
      <c r="K73" s="1158"/>
      <c r="L73" s="1158"/>
      <c r="M73" s="1158"/>
      <c r="N73" s="1158"/>
      <c r="O73" s="1158"/>
      <c r="P73" s="1158"/>
      <c r="Q73" s="1158"/>
      <c r="R73" s="1158"/>
      <c r="S73" s="1110"/>
      <c r="T73" s="1110"/>
      <c r="U73" s="1110"/>
      <c r="V73" s="1110"/>
      <c r="W73" s="1110"/>
      <c r="X73" s="1161"/>
      <c r="Y73" s="1110"/>
      <c r="Z73" s="1110"/>
      <c r="AA73" s="1110"/>
      <c r="AB73" s="1110"/>
    </row>
    <row r="74" spans="1:28" ht="13.5" hidden="1" thickBot="1" x14ac:dyDescent="0.25">
      <c r="A74" s="1158"/>
      <c r="B74" s="1159"/>
      <c r="C74" s="1119"/>
      <c r="D74" s="1119"/>
      <c r="E74" s="1119"/>
      <c r="F74" s="1119"/>
      <c r="G74" s="1119"/>
      <c r="H74" s="1119"/>
      <c r="I74" s="1119"/>
      <c r="J74" s="1158"/>
      <c r="K74" s="1158"/>
      <c r="L74" s="1158"/>
      <c r="M74" s="1158"/>
      <c r="N74" s="1158"/>
      <c r="O74" s="1158"/>
      <c r="P74" s="1158"/>
      <c r="Q74" s="1158"/>
      <c r="R74" s="1158"/>
      <c r="S74" s="1110"/>
      <c r="T74" s="1110"/>
      <c r="U74" s="1110"/>
      <c r="V74" s="1110"/>
      <c r="W74" s="1110"/>
      <c r="X74" s="1161"/>
      <c r="Y74" s="1110"/>
      <c r="Z74" s="1110"/>
      <c r="AA74" s="1110"/>
      <c r="AB74" s="1110"/>
    </row>
    <row r="75" spans="1:28" ht="13.5" thickBot="1" x14ac:dyDescent="0.25">
      <c r="A75" s="1158"/>
      <c r="B75" s="1158"/>
      <c r="C75" s="1158"/>
      <c r="D75" s="1158"/>
      <c r="E75" s="1158"/>
      <c r="F75" s="1158"/>
      <c r="G75" s="1429" t="s">
        <v>1282</v>
      </c>
      <c r="H75" s="1430"/>
      <c r="I75" s="1430"/>
      <c r="J75" s="1430"/>
      <c r="K75" s="1431"/>
      <c r="L75" s="1431"/>
      <c r="M75" s="1431"/>
      <c r="N75" s="1431"/>
      <c r="O75" s="1431"/>
      <c r="P75" s="1431"/>
      <c r="Q75" s="1430"/>
      <c r="R75" s="1430"/>
      <c r="S75" s="1430"/>
      <c r="T75" s="1432"/>
      <c r="U75" s="1433" t="s">
        <v>1283</v>
      </c>
      <c r="V75" s="1434"/>
      <c r="W75" s="1434"/>
      <c r="X75" s="1435"/>
      <c r="Y75" s="1110"/>
      <c r="Z75" s="1110"/>
      <c r="AA75" s="1110"/>
      <c r="AB75" s="1110"/>
    </row>
    <row r="76" spans="1:28" ht="13.5" thickBot="1" x14ac:dyDescent="0.25">
      <c r="A76" s="1158"/>
      <c r="B76" s="1162" t="s">
        <v>793</v>
      </c>
      <c r="C76" s="1163" t="s">
        <v>1284</v>
      </c>
      <c r="D76" s="1164" t="s">
        <v>1285</v>
      </c>
      <c r="E76" s="1165" t="s">
        <v>1286</v>
      </c>
      <c r="F76" s="1217" t="s">
        <v>1287</v>
      </c>
      <c r="G76" s="1164" t="s">
        <v>1161</v>
      </c>
      <c r="H76" s="1167" t="s">
        <v>339</v>
      </c>
      <c r="I76" s="1168" t="s">
        <v>1164</v>
      </c>
      <c r="J76" s="1169" t="s">
        <v>1288</v>
      </c>
      <c r="K76" s="1170" t="s">
        <v>1289</v>
      </c>
      <c r="L76" s="1171" t="s">
        <v>1176</v>
      </c>
      <c r="M76" s="1171" t="s">
        <v>1178</v>
      </c>
      <c r="N76" s="1171" t="s">
        <v>303</v>
      </c>
      <c r="O76" s="1172" t="s">
        <v>565</v>
      </c>
      <c r="P76" s="1169" t="s">
        <v>1290</v>
      </c>
      <c r="Q76" s="1173" t="s">
        <v>1231</v>
      </c>
      <c r="R76" s="1174" t="s">
        <v>1291</v>
      </c>
      <c r="S76" s="1175" t="s">
        <v>1292</v>
      </c>
      <c r="T76" s="1166" t="s">
        <v>1293</v>
      </c>
      <c r="U76" s="1164" t="s">
        <v>336</v>
      </c>
      <c r="V76" s="1167" t="s">
        <v>337</v>
      </c>
      <c r="W76" s="1176" t="s">
        <v>1294</v>
      </c>
      <c r="X76" s="1177" t="s">
        <v>1158</v>
      </c>
      <c r="Y76" s="1110"/>
      <c r="Z76" s="1110"/>
      <c r="AA76" s="1110"/>
      <c r="AB76" s="1110"/>
    </row>
    <row r="77" spans="1:28" x14ac:dyDescent="0.2">
      <c r="A77" s="1158"/>
      <c r="B77" s="1392" t="s">
        <v>303</v>
      </c>
      <c r="C77" s="1518"/>
      <c r="D77" s="1397"/>
      <c r="E77" s="1400"/>
      <c r="F77" s="1521">
        <f>D77*E77</f>
        <v>0</v>
      </c>
      <c r="G77" s="1397">
        <f>E77</f>
        <v>0</v>
      </c>
      <c r="H77" s="1479"/>
      <c r="I77" s="1481"/>
      <c r="J77" s="1483">
        <v>1</v>
      </c>
      <c r="K77" s="1485" t="s">
        <v>1295</v>
      </c>
      <c r="L77" s="1417">
        <f>D77</f>
        <v>0</v>
      </c>
      <c r="M77" s="1427"/>
      <c r="N77" s="1427"/>
      <c r="O77" s="1428"/>
      <c r="P77" s="1483">
        <f>1-O77-O79</f>
        <v>1</v>
      </c>
      <c r="Q77" s="1474"/>
      <c r="R77" s="1497"/>
      <c r="S77" s="1483">
        <v>1</v>
      </c>
      <c r="T77" s="1483">
        <f>J77*P77*S77</f>
        <v>1</v>
      </c>
      <c r="U77" s="1178"/>
      <c r="V77" s="1179"/>
      <c r="W77" s="1180"/>
      <c r="X77" s="1181"/>
      <c r="Y77" s="1110"/>
      <c r="Z77" s="1110"/>
      <c r="AA77" s="1110"/>
      <c r="AB77" s="1110"/>
    </row>
    <row r="78" spans="1:28" x14ac:dyDescent="0.2">
      <c r="A78" s="1158"/>
      <c r="B78" s="1393"/>
      <c r="C78" s="1519"/>
      <c r="D78" s="1398"/>
      <c r="E78" s="1401"/>
      <c r="F78" s="1522"/>
      <c r="G78" s="1398"/>
      <c r="H78" s="1462"/>
      <c r="I78" s="1465"/>
      <c r="J78" s="1467"/>
      <c r="K78" s="1469"/>
      <c r="L78" s="1418"/>
      <c r="M78" s="1424"/>
      <c r="N78" s="1424"/>
      <c r="O78" s="1426"/>
      <c r="P78" s="1467"/>
      <c r="Q78" s="1475"/>
      <c r="R78" s="1487"/>
      <c r="S78" s="1467"/>
      <c r="T78" s="1467"/>
      <c r="U78" s="1182"/>
      <c r="V78" s="1183"/>
      <c r="W78" s="1184"/>
      <c r="X78" s="1185"/>
      <c r="Y78" s="1110"/>
      <c r="Z78" s="1110"/>
      <c r="AA78" s="1110"/>
      <c r="AB78" s="1110"/>
    </row>
    <row r="79" spans="1:28" x14ac:dyDescent="0.2">
      <c r="A79" s="1158"/>
      <c r="B79" s="1393"/>
      <c r="C79" s="1519"/>
      <c r="D79" s="1398"/>
      <c r="E79" s="1401"/>
      <c r="F79" s="1522"/>
      <c r="G79" s="1398"/>
      <c r="H79" s="1462"/>
      <c r="I79" s="1465"/>
      <c r="J79" s="1467"/>
      <c r="K79" s="1489" t="s">
        <v>1296</v>
      </c>
      <c r="L79" s="1421">
        <f>D77</f>
        <v>0</v>
      </c>
      <c r="M79" s="1491"/>
      <c r="N79" s="1491"/>
      <c r="O79" s="1493"/>
      <c r="P79" s="1467"/>
      <c r="Q79" s="1475"/>
      <c r="R79" s="1487"/>
      <c r="S79" s="1467"/>
      <c r="T79" s="1467"/>
      <c r="U79" s="1182"/>
      <c r="V79" s="1183"/>
      <c r="W79" s="1184"/>
      <c r="X79" s="1185"/>
      <c r="Y79" s="1110"/>
      <c r="Z79" s="1110"/>
      <c r="AA79" s="1110"/>
      <c r="AB79" s="1110"/>
    </row>
    <row r="80" spans="1:28" ht="13.5" thickBot="1" x14ac:dyDescent="0.25">
      <c r="A80" s="1158"/>
      <c r="B80" s="1393"/>
      <c r="C80" s="1519"/>
      <c r="D80" s="1398"/>
      <c r="E80" s="1401"/>
      <c r="F80" s="1522"/>
      <c r="G80" s="1398"/>
      <c r="H80" s="1462"/>
      <c r="I80" s="1465"/>
      <c r="J80" s="1467"/>
      <c r="K80" s="1489"/>
      <c r="L80" s="1421"/>
      <c r="M80" s="1491"/>
      <c r="N80" s="1491"/>
      <c r="O80" s="1493"/>
      <c r="P80" s="1467"/>
      <c r="Q80" s="1475"/>
      <c r="R80" s="1487"/>
      <c r="S80" s="1467"/>
      <c r="T80" s="1467"/>
      <c r="U80" s="1186"/>
      <c r="V80" s="1187"/>
      <c r="W80" s="1188"/>
      <c r="X80" s="1185"/>
      <c r="Y80" s="1110"/>
      <c r="Z80" s="1110"/>
      <c r="AA80" s="1110"/>
      <c r="AB80" s="1110"/>
    </row>
    <row r="81" spans="1:28" ht="13.5" thickBot="1" x14ac:dyDescent="0.25">
      <c r="A81" s="1158"/>
      <c r="B81" s="1393"/>
      <c r="C81" s="1520"/>
      <c r="D81" s="1399"/>
      <c r="E81" s="1402"/>
      <c r="F81" s="1523"/>
      <c r="G81" s="1399"/>
      <c r="H81" s="1463"/>
      <c r="I81" s="1466"/>
      <c r="J81" s="1467"/>
      <c r="K81" s="1490"/>
      <c r="L81" s="1422"/>
      <c r="M81" s="1492"/>
      <c r="N81" s="1492"/>
      <c r="O81" s="1494"/>
      <c r="P81" s="1467"/>
      <c r="Q81" s="1496"/>
      <c r="R81" s="1488"/>
      <c r="S81" s="1467"/>
      <c r="T81" s="1467"/>
      <c r="U81" s="1455" t="s">
        <v>1297</v>
      </c>
      <c r="V81" s="1456"/>
      <c r="W81" s="1457"/>
      <c r="X81" s="1190">
        <v>1</v>
      </c>
      <c r="Y81" s="1110"/>
      <c r="Z81" s="1110"/>
      <c r="AA81" s="1110"/>
      <c r="AB81" s="1110"/>
    </row>
    <row r="82" spans="1:28" x14ac:dyDescent="0.2">
      <c r="A82" s="1158"/>
      <c r="B82" s="1393"/>
      <c r="C82" s="1518"/>
      <c r="D82" s="1397"/>
      <c r="E82" s="1400"/>
      <c r="F82" s="1521">
        <f t="shared" ref="F82" si="5">D82*E82</f>
        <v>0</v>
      </c>
      <c r="G82" s="1397">
        <f>E82</f>
        <v>0</v>
      </c>
      <c r="H82" s="1479"/>
      <c r="I82" s="1481"/>
      <c r="J82" s="1483">
        <v>1</v>
      </c>
      <c r="K82" s="1485" t="s">
        <v>1295</v>
      </c>
      <c r="L82" s="1417">
        <f>D82</f>
        <v>0</v>
      </c>
      <c r="M82" s="1427"/>
      <c r="N82" s="1427"/>
      <c r="O82" s="1428"/>
      <c r="P82" s="1483">
        <f>1-O82-O84</f>
        <v>1</v>
      </c>
      <c r="Q82" s="1474"/>
      <c r="R82" s="1497"/>
      <c r="S82" s="1483">
        <v>1</v>
      </c>
      <c r="T82" s="1483">
        <f>J82*P82*S82</f>
        <v>1</v>
      </c>
      <c r="U82" s="1191"/>
      <c r="V82" s="1192"/>
      <c r="W82" s="1193"/>
      <c r="X82" s="1181"/>
      <c r="Y82" s="1110"/>
      <c r="Z82" s="1110"/>
      <c r="AA82" s="1110"/>
      <c r="AB82" s="1110"/>
    </row>
    <row r="83" spans="1:28" x14ac:dyDescent="0.2">
      <c r="A83" s="1158"/>
      <c r="B83" s="1393"/>
      <c r="C83" s="1519"/>
      <c r="D83" s="1398"/>
      <c r="E83" s="1401"/>
      <c r="F83" s="1522"/>
      <c r="G83" s="1398"/>
      <c r="H83" s="1462"/>
      <c r="I83" s="1465"/>
      <c r="J83" s="1467"/>
      <c r="K83" s="1469"/>
      <c r="L83" s="1418"/>
      <c r="M83" s="1424"/>
      <c r="N83" s="1424"/>
      <c r="O83" s="1426"/>
      <c r="P83" s="1467"/>
      <c r="Q83" s="1475"/>
      <c r="R83" s="1487"/>
      <c r="S83" s="1467"/>
      <c r="T83" s="1467"/>
      <c r="U83" s="1182"/>
      <c r="V83" s="1183"/>
      <c r="W83" s="1184"/>
      <c r="X83" s="1185"/>
      <c r="Y83" s="1110"/>
      <c r="Z83" s="1110"/>
      <c r="AA83" s="1110"/>
      <c r="AB83" s="1110"/>
    </row>
    <row r="84" spans="1:28" x14ac:dyDescent="0.2">
      <c r="A84" s="1158"/>
      <c r="B84" s="1393"/>
      <c r="C84" s="1519"/>
      <c r="D84" s="1398"/>
      <c r="E84" s="1401"/>
      <c r="F84" s="1522"/>
      <c r="G84" s="1398"/>
      <c r="H84" s="1462"/>
      <c r="I84" s="1465"/>
      <c r="J84" s="1467"/>
      <c r="K84" s="1489" t="s">
        <v>1296</v>
      </c>
      <c r="L84" s="1421">
        <f>D82</f>
        <v>0</v>
      </c>
      <c r="M84" s="1491"/>
      <c r="N84" s="1491"/>
      <c r="O84" s="1493"/>
      <c r="P84" s="1467"/>
      <c r="Q84" s="1475"/>
      <c r="R84" s="1487"/>
      <c r="S84" s="1467"/>
      <c r="T84" s="1467"/>
      <c r="U84" s="1182"/>
      <c r="V84" s="1183"/>
      <c r="W84" s="1184"/>
      <c r="X84" s="1185"/>
      <c r="Y84" s="1110"/>
      <c r="Z84" s="1110"/>
      <c r="AA84" s="1110"/>
      <c r="AB84" s="1110"/>
    </row>
    <row r="85" spans="1:28" ht="13.5" thickBot="1" x14ac:dyDescent="0.25">
      <c r="A85" s="1158"/>
      <c r="B85" s="1393"/>
      <c r="C85" s="1519"/>
      <c r="D85" s="1398"/>
      <c r="E85" s="1401"/>
      <c r="F85" s="1522"/>
      <c r="G85" s="1398"/>
      <c r="H85" s="1462"/>
      <c r="I85" s="1465"/>
      <c r="J85" s="1467"/>
      <c r="K85" s="1489"/>
      <c r="L85" s="1421"/>
      <c r="M85" s="1491"/>
      <c r="N85" s="1491"/>
      <c r="O85" s="1493"/>
      <c r="P85" s="1467"/>
      <c r="Q85" s="1475"/>
      <c r="R85" s="1487"/>
      <c r="S85" s="1467"/>
      <c r="T85" s="1467"/>
      <c r="U85" s="1186"/>
      <c r="V85" s="1187"/>
      <c r="W85" s="1188"/>
      <c r="X85" s="1185"/>
      <c r="Y85" s="1110"/>
      <c r="Z85" s="1110"/>
      <c r="AA85" s="1110"/>
      <c r="AB85" s="1110"/>
    </row>
    <row r="86" spans="1:28" ht="13.5" thickBot="1" x14ac:dyDescent="0.25">
      <c r="A86" s="1158"/>
      <c r="B86" s="1393"/>
      <c r="C86" s="1520"/>
      <c r="D86" s="1444"/>
      <c r="E86" s="1445"/>
      <c r="F86" s="1523"/>
      <c r="G86" s="1399"/>
      <c r="H86" s="1480"/>
      <c r="I86" s="1482"/>
      <c r="J86" s="1484"/>
      <c r="K86" s="1499"/>
      <c r="L86" s="1422"/>
      <c r="M86" s="1500"/>
      <c r="N86" s="1500"/>
      <c r="O86" s="1501"/>
      <c r="P86" s="1484"/>
      <c r="Q86" s="1476"/>
      <c r="R86" s="1498"/>
      <c r="S86" s="1484"/>
      <c r="T86" s="1484"/>
      <c r="U86" s="1455" t="s">
        <v>1297</v>
      </c>
      <c r="V86" s="1456"/>
      <c r="W86" s="1457"/>
      <c r="X86" s="1190">
        <v>1</v>
      </c>
      <c r="Y86" s="1110"/>
      <c r="Z86" s="1110"/>
      <c r="AA86" s="1110"/>
      <c r="AB86" s="1110"/>
    </row>
    <row r="87" spans="1:28" x14ac:dyDescent="0.2">
      <c r="A87" s="1158"/>
      <c r="B87" s="1393"/>
      <c r="C87" s="1518"/>
      <c r="D87" s="1459"/>
      <c r="E87" s="1460"/>
      <c r="F87" s="1521">
        <f t="shared" ref="F87" si="6">D87*E87</f>
        <v>0</v>
      </c>
      <c r="G87" s="1397">
        <f>E87</f>
        <v>0</v>
      </c>
      <c r="H87" s="1461"/>
      <c r="I87" s="1464"/>
      <c r="J87" s="1467">
        <v>1</v>
      </c>
      <c r="K87" s="1468" t="s">
        <v>1295</v>
      </c>
      <c r="L87" s="1417">
        <f>D87</f>
        <v>0</v>
      </c>
      <c r="M87" s="1423"/>
      <c r="N87" s="1423"/>
      <c r="O87" s="1425"/>
      <c r="P87" s="1467">
        <f>1-O87-O89</f>
        <v>1</v>
      </c>
      <c r="Q87" s="1495"/>
      <c r="R87" s="1486"/>
      <c r="S87" s="1467">
        <v>1</v>
      </c>
      <c r="T87" s="1467">
        <f>J87*P87*S87</f>
        <v>1</v>
      </c>
      <c r="U87" s="1191"/>
      <c r="V87" s="1192"/>
      <c r="W87" s="1193"/>
      <c r="X87" s="1181"/>
      <c r="Y87" s="1110"/>
      <c r="Z87" s="1110"/>
      <c r="AA87" s="1110"/>
      <c r="AB87" s="1110"/>
    </row>
    <row r="88" spans="1:28" x14ac:dyDescent="0.2">
      <c r="A88" s="1158"/>
      <c r="B88" s="1393"/>
      <c r="C88" s="1519"/>
      <c r="D88" s="1398"/>
      <c r="E88" s="1401"/>
      <c r="F88" s="1522"/>
      <c r="G88" s="1398"/>
      <c r="H88" s="1462"/>
      <c r="I88" s="1465"/>
      <c r="J88" s="1467"/>
      <c r="K88" s="1469"/>
      <c r="L88" s="1418"/>
      <c r="M88" s="1424"/>
      <c r="N88" s="1424"/>
      <c r="O88" s="1426"/>
      <c r="P88" s="1467"/>
      <c r="Q88" s="1475"/>
      <c r="R88" s="1487"/>
      <c r="S88" s="1467"/>
      <c r="T88" s="1467"/>
      <c r="U88" s="1182"/>
      <c r="V88" s="1183"/>
      <c r="W88" s="1184"/>
      <c r="X88" s="1185"/>
      <c r="Y88" s="1110"/>
      <c r="Z88" s="1110"/>
      <c r="AA88" s="1110"/>
      <c r="AB88" s="1110"/>
    </row>
    <row r="89" spans="1:28" x14ac:dyDescent="0.2">
      <c r="A89" s="1158"/>
      <c r="B89" s="1393"/>
      <c r="C89" s="1519"/>
      <c r="D89" s="1398"/>
      <c r="E89" s="1401"/>
      <c r="F89" s="1522"/>
      <c r="G89" s="1398"/>
      <c r="H89" s="1462"/>
      <c r="I89" s="1465"/>
      <c r="J89" s="1467"/>
      <c r="K89" s="1489" t="s">
        <v>1296</v>
      </c>
      <c r="L89" s="1421">
        <f>D87</f>
        <v>0</v>
      </c>
      <c r="M89" s="1491"/>
      <c r="N89" s="1491"/>
      <c r="O89" s="1493"/>
      <c r="P89" s="1467"/>
      <c r="Q89" s="1475"/>
      <c r="R89" s="1487"/>
      <c r="S89" s="1467"/>
      <c r="T89" s="1467"/>
      <c r="U89" s="1182"/>
      <c r="V89" s="1183"/>
      <c r="W89" s="1184"/>
      <c r="X89" s="1185"/>
      <c r="Y89" s="1110"/>
      <c r="Z89" s="1110"/>
      <c r="AA89" s="1110"/>
      <c r="AB89" s="1110"/>
    </row>
    <row r="90" spans="1:28" ht="13.5" thickBot="1" x14ac:dyDescent="0.25">
      <c r="A90" s="1158"/>
      <c r="B90" s="1393"/>
      <c r="C90" s="1519"/>
      <c r="D90" s="1398"/>
      <c r="E90" s="1401"/>
      <c r="F90" s="1522"/>
      <c r="G90" s="1398"/>
      <c r="H90" s="1462"/>
      <c r="I90" s="1465"/>
      <c r="J90" s="1467"/>
      <c r="K90" s="1489"/>
      <c r="L90" s="1421"/>
      <c r="M90" s="1491"/>
      <c r="N90" s="1491"/>
      <c r="O90" s="1493"/>
      <c r="P90" s="1467"/>
      <c r="Q90" s="1475"/>
      <c r="R90" s="1487"/>
      <c r="S90" s="1467"/>
      <c r="T90" s="1467"/>
      <c r="U90" s="1186"/>
      <c r="V90" s="1187"/>
      <c r="W90" s="1188"/>
      <c r="X90" s="1185"/>
      <c r="Y90" s="1110"/>
      <c r="Z90" s="1110"/>
      <c r="AA90" s="1110"/>
      <c r="AB90" s="1110"/>
    </row>
    <row r="91" spans="1:28" ht="13.5" thickBot="1" x14ac:dyDescent="0.25">
      <c r="A91" s="1158"/>
      <c r="B91" s="1393"/>
      <c r="C91" s="1520"/>
      <c r="D91" s="1399"/>
      <c r="E91" s="1402"/>
      <c r="F91" s="1523"/>
      <c r="G91" s="1399"/>
      <c r="H91" s="1463"/>
      <c r="I91" s="1466"/>
      <c r="J91" s="1467"/>
      <c r="K91" s="1490"/>
      <c r="L91" s="1422"/>
      <c r="M91" s="1492"/>
      <c r="N91" s="1492"/>
      <c r="O91" s="1494"/>
      <c r="P91" s="1467"/>
      <c r="Q91" s="1496"/>
      <c r="R91" s="1488"/>
      <c r="S91" s="1467"/>
      <c r="T91" s="1467"/>
      <c r="U91" s="1455" t="s">
        <v>1297</v>
      </c>
      <c r="V91" s="1456"/>
      <c r="W91" s="1457"/>
      <c r="X91" s="1190">
        <v>1</v>
      </c>
      <c r="Y91" s="1110"/>
      <c r="Z91" s="1110"/>
      <c r="AA91" s="1110"/>
      <c r="AB91" s="1110"/>
    </row>
    <row r="92" spans="1:28" x14ac:dyDescent="0.2">
      <c r="A92" s="1158"/>
      <c r="B92" s="1393"/>
      <c r="C92" s="1518"/>
      <c r="D92" s="1397"/>
      <c r="E92" s="1400"/>
      <c r="F92" s="1521">
        <f t="shared" ref="F92" si="7">D92*E92</f>
        <v>0</v>
      </c>
      <c r="G92" s="1397">
        <f>E92</f>
        <v>0</v>
      </c>
      <c r="H92" s="1479"/>
      <c r="I92" s="1481"/>
      <c r="J92" s="1483">
        <v>1</v>
      </c>
      <c r="K92" s="1485" t="s">
        <v>1295</v>
      </c>
      <c r="L92" s="1417">
        <f>D92</f>
        <v>0</v>
      </c>
      <c r="M92" s="1427"/>
      <c r="N92" s="1427"/>
      <c r="O92" s="1428"/>
      <c r="P92" s="1483">
        <f>1-O92-O94</f>
        <v>1</v>
      </c>
      <c r="Q92" s="1474"/>
      <c r="R92" s="1497"/>
      <c r="S92" s="1483">
        <v>1</v>
      </c>
      <c r="T92" s="1483">
        <f>J92*P92*S92</f>
        <v>1</v>
      </c>
      <c r="U92" s="1191"/>
      <c r="V92" s="1192"/>
      <c r="W92" s="1193"/>
      <c r="X92" s="1181"/>
      <c r="Y92" s="1110"/>
      <c r="Z92" s="1110"/>
      <c r="AA92" s="1110"/>
      <c r="AB92" s="1110"/>
    </row>
    <row r="93" spans="1:28" x14ac:dyDescent="0.2">
      <c r="A93" s="1158"/>
      <c r="B93" s="1393"/>
      <c r="C93" s="1519"/>
      <c r="D93" s="1398"/>
      <c r="E93" s="1401"/>
      <c r="F93" s="1522"/>
      <c r="G93" s="1398"/>
      <c r="H93" s="1462"/>
      <c r="I93" s="1465"/>
      <c r="J93" s="1467"/>
      <c r="K93" s="1469"/>
      <c r="L93" s="1418"/>
      <c r="M93" s="1424"/>
      <c r="N93" s="1424"/>
      <c r="O93" s="1426"/>
      <c r="P93" s="1467"/>
      <c r="Q93" s="1475"/>
      <c r="R93" s="1487"/>
      <c r="S93" s="1467"/>
      <c r="T93" s="1467"/>
      <c r="U93" s="1182"/>
      <c r="V93" s="1183"/>
      <c r="W93" s="1184"/>
      <c r="X93" s="1185"/>
      <c r="Y93" s="1110"/>
      <c r="Z93" s="1110"/>
      <c r="AA93" s="1110"/>
      <c r="AB93" s="1110"/>
    </row>
    <row r="94" spans="1:28" x14ac:dyDescent="0.2">
      <c r="A94" s="1158"/>
      <c r="B94" s="1393"/>
      <c r="C94" s="1519"/>
      <c r="D94" s="1398"/>
      <c r="E94" s="1401"/>
      <c r="F94" s="1522"/>
      <c r="G94" s="1398"/>
      <c r="H94" s="1462"/>
      <c r="I94" s="1465"/>
      <c r="J94" s="1467"/>
      <c r="K94" s="1489" t="s">
        <v>1296</v>
      </c>
      <c r="L94" s="1421">
        <f>D92</f>
        <v>0</v>
      </c>
      <c r="M94" s="1491"/>
      <c r="N94" s="1491"/>
      <c r="O94" s="1493"/>
      <c r="P94" s="1467"/>
      <c r="Q94" s="1475"/>
      <c r="R94" s="1487"/>
      <c r="S94" s="1467"/>
      <c r="T94" s="1467"/>
      <c r="U94" s="1182"/>
      <c r="V94" s="1183"/>
      <c r="W94" s="1184"/>
      <c r="X94" s="1185"/>
      <c r="Y94" s="1110"/>
      <c r="Z94" s="1110"/>
      <c r="AA94" s="1110"/>
      <c r="AB94" s="1110"/>
    </row>
    <row r="95" spans="1:28" ht="13.5" thickBot="1" x14ac:dyDescent="0.25">
      <c r="A95" s="1158"/>
      <c r="B95" s="1393"/>
      <c r="C95" s="1519"/>
      <c r="D95" s="1398"/>
      <c r="E95" s="1401"/>
      <c r="F95" s="1522"/>
      <c r="G95" s="1398"/>
      <c r="H95" s="1462"/>
      <c r="I95" s="1465"/>
      <c r="J95" s="1467"/>
      <c r="K95" s="1489"/>
      <c r="L95" s="1421"/>
      <c r="M95" s="1491"/>
      <c r="N95" s="1491"/>
      <c r="O95" s="1493"/>
      <c r="P95" s="1467"/>
      <c r="Q95" s="1475"/>
      <c r="R95" s="1487"/>
      <c r="S95" s="1467"/>
      <c r="T95" s="1467"/>
      <c r="U95" s="1186"/>
      <c r="V95" s="1187"/>
      <c r="W95" s="1188"/>
      <c r="X95" s="1185"/>
      <c r="Y95" s="1110"/>
      <c r="Z95" s="1110"/>
      <c r="AA95" s="1110"/>
      <c r="AB95" s="1110"/>
    </row>
    <row r="96" spans="1:28" ht="13.5" thickBot="1" x14ac:dyDescent="0.25">
      <c r="A96" s="1158"/>
      <c r="B96" s="1393"/>
      <c r="C96" s="1520"/>
      <c r="D96" s="1444"/>
      <c r="E96" s="1445"/>
      <c r="F96" s="1523"/>
      <c r="G96" s="1399"/>
      <c r="H96" s="1480"/>
      <c r="I96" s="1482"/>
      <c r="J96" s="1484"/>
      <c r="K96" s="1499"/>
      <c r="L96" s="1422"/>
      <c r="M96" s="1500"/>
      <c r="N96" s="1500"/>
      <c r="O96" s="1501"/>
      <c r="P96" s="1484"/>
      <c r="Q96" s="1476"/>
      <c r="R96" s="1498"/>
      <c r="S96" s="1484"/>
      <c r="T96" s="1484"/>
      <c r="U96" s="1455" t="s">
        <v>1297</v>
      </c>
      <c r="V96" s="1456"/>
      <c r="W96" s="1457"/>
      <c r="X96" s="1190">
        <v>1</v>
      </c>
      <c r="Y96" s="1110"/>
      <c r="Z96" s="1110"/>
      <c r="AA96" s="1110"/>
      <c r="AB96" s="1110"/>
    </row>
    <row r="97" spans="1:28" x14ac:dyDescent="0.2">
      <c r="A97" s="1158"/>
      <c r="B97" s="1393"/>
      <c r="C97" s="1518"/>
      <c r="D97" s="1397"/>
      <c r="E97" s="1400"/>
      <c r="F97" s="1521">
        <f t="shared" ref="F97" si="8">D97*E97</f>
        <v>0</v>
      </c>
      <c r="G97" s="1397">
        <f>E97</f>
        <v>0</v>
      </c>
      <c r="H97" s="1461"/>
      <c r="I97" s="1464"/>
      <c r="J97" s="1467">
        <v>1</v>
      </c>
      <c r="K97" s="1468" t="s">
        <v>1295</v>
      </c>
      <c r="L97" s="1417">
        <f>D97</f>
        <v>0</v>
      </c>
      <c r="M97" s="1423"/>
      <c r="N97" s="1423"/>
      <c r="O97" s="1425"/>
      <c r="P97" s="1467">
        <f>1-O97-O99</f>
        <v>1</v>
      </c>
      <c r="Q97" s="1495"/>
      <c r="R97" s="1486"/>
      <c r="S97" s="1467">
        <v>1</v>
      </c>
      <c r="T97" s="1467">
        <f>J97*P97*S97</f>
        <v>1</v>
      </c>
      <c r="U97" s="1191"/>
      <c r="V97" s="1192"/>
      <c r="W97" s="1193"/>
      <c r="X97" s="1181"/>
      <c r="Y97" s="1110"/>
      <c r="Z97" s="1110"/>
      <c r="AA97" s="1110"/>
      <c r="AB97" s="1110"/>
    </row>
    <row r="98" spans="1:28" x14ac:dyDescent="0.2">
      <c r="A98" s="1158"/>
      <c r="B98" s="1393"/>
      <c r="C98" s="1519"/>
      <c r="D98" s="1398"/>
      <c r="E98" s="1401"/>
      <c r="F98" s="1522"/>
      <c r="G98" s="1398"/>
      <c r="H98" s="1462"/>
      <c r="I98" s="1465"/>
      <c r="J98" s="1467"/>
      <c r="K98" s="1469"/>
      <c r="L98" s="1418"/>
      <c r="M98" s="1424"/>
      <c r="N98" s="1424"/>
      <c r="O98" s="1426"/>
      <c r="P98" s="1467"/>
      <c r="Q98" s="1475"/>
      <c r="R98" s="1487"/>
      <c r="S98" s="1467"/>
      <c r="T98" s="1467"/>
      <c r="U98" s="1182"/>
      <c r="V98" s="1183"/>
      <c r="W98" s="1184"/>
      <c r="X98" s="1185"/>
      <c r="Y98" s="1110"/>
      <c r="Z98" s="1110"/>
      <c r="AA98" s="1110"/>
      <c r="AB98" s="1110"/>
    </row>
    <row r="99" spans="1:28" x14ac:dyDescent="0.2">
      <c r="A99" s="1158"/>
      <c r="B99" s="1393"/>
      <c r="C99" s="1519"/>
      <c r="D99" s="1398"/>
      <c r="E99" s="1401"/>
      <c r="F99" s="1522"/>
      <c r="G99" s="1398"/>
      <c r="H99" s="1462"/>
      <c r="I99" s="1465"/>
      <c r="J99" s="1467"/>
      <c r="K99" s="1489" t="s">
        <v>1296</v>
      </c>
      <c r="L99" s="1421">
        <f>D97</f>
        <v>0</v>
      </c>
      <c r="M99" s="1491"/>
      <c r="N99" s="1491"/>
      <c r="O99" s="1493"/>
      <c r="P99" s="1467"/>
      <c r="Q99" s="1475"/>
      <c r="R99" s="1487"/>
      <c r="S99" s="1467"/>
      <c r="T99" s="1467"/>
      <c r="U99" s="1182"/>
      <c r="V99" s="1183"/>
      <c r="W99" s="1184"/>
      <c r="X99" s="1185"/>
      <c r="Y99" s="1110"/>
      <c r="Z99" s="1110"/>
      <c r="AA99" s="1110"/>
      <c r="AB99" s="1110"/>
    </row>
    <row r="100" spans="1:28" ht="13.5" thickBot="1" x14ac:dyDescent="0.25">
      <c r="A100" s="1158"/>
      <c r="B100" s="1393"/>
      <c r="C100" s="1519"/>
      <c r="D100" s="1398"/>
      <c r="E100" s="1401"/>
      <c r="F100" s="1522"/>
      <c r="G100" s="1398"/>
      <c r="H100" s="1462"/>
      <c r="I100" s="1465"/>
      <c r="J100" s="1467"/>
      <c r="K100" s="1489"/>
      <c r="L100" s="1421"/>
      <c r="M100" s="1491"/>
      <c r="N100" s="1491"/>
      <c r="O100" s="1493"/>
      <c r="P100" s="1467"/>
      <c r="Q100" s="1475"/>
      <c r="R100" s="1487"/>
      <c r="S100" s="1467"/>
      <c r="T100" s="1467"/>
      <c r="U100" s="1186"/>
      <c r="V100" s="1187"/>
      <c r="W100" s="1188"/>
      <c r="X100" s="1185"/>
      <c r="Y100" s="1110"/>
      <c r="Z100" s="1110"/>
      <c r="AA100" s="1110"/>
      <c r="AB100" s="1110"/>
    </row>
    <row r="101" spans="1:28" ht="13.5" thickBot="1" x14ac:dyDescent="0.25">
      <c r="A101" s="1158"/>
      <c r="B101" s="1393"/>
      <c r="C101" s="1520"/>
      <c r="D101" s="1444"/>
      <c r="E101" s="1445"/>
      <c r="F101" s="1523"/>
      <c r="G101" s="1399"/>
      <c r="H101" s="1463"/>
      <c r="I101" s="1466"/>
      <c r="J101" s="1467"/>
      <c r="K101" s="1490"/>
      <c r="L101" s="1422"/>
      <c r="M101" s="1492"/>
      <c r="N101" s="1492"/>
      <c r="O101" s="1494"/>
      <c r="P101" s="1467"/>
      <c r="Q101" s="1496"/>
      <c r="R101" s="1488"/>
      <c r="S101" s="1467"/>
      <c r="T101" s="1467"/>
      <c r="U101" s="1455" t="s">
        <v>1297</v>
      </c>
      <c r="V101" s="1456"/>
      <c r="W101" s="1457"/>
      <c r="X101" s="1190">
        <v>1</v>
      </c>
      <c r="Y101" s="1110"/>
      <c r="Z101" s="1110"/>
      <c r="AA101" s="1110"/>
      <c r="AB101" s="1110"/>
    </row>
    <row r="102" spans="1:28" x14ac:dyDescent="0.2">
      <c r="A102" s="1158"/>
      <c r="B102" s="1393"/>
      <c r="C102" s="1518"/>
      <c r="D102" s="1397"/>
      <c r="E102" s="1400"/>
      <c r="F102" s="1521">
        <f t="shared" ref="F102" si="9">D102*E102</f>
        <v>0</v>
      </c>
      <c r="G102" s="1397">
        <f>E102</f>
        <v>0</v>
      </c>
      <c r="H102" s="1479"/>
      <c r="I102" s="1481"/>
      <c r="J102" s="1483">
        <v>1</v>
      </c>
      <c r="K102" s="1485" t="s">
        <v>1295</v>
      </c>
      <c r="L102" s="1417">
        <f>D102</f>
        <v>0</v>
      </c>
      <c r="M102" s="1427"/>
      <c r="N102" s="1427"/>
      <c r="O102" s="1428"/>
      <c r="P102" s="1483">
        <f>1-O102-O104</f>
        <v>1</v>
      </c>
      <c r="Q102" s="1474"/>
      <c r="R102" s="1497"/>
      <c r="S102" s="1483">
        <v>1</v>
      </c>
      <c r="T102" s="1483">
        <f>J102*P102*S102</f>
        <v>1</v>
      </c>
      <c r="U102" s="1191"/>
      <c r="V102" s="1192"/>
      <c r="W102" s="1193"/>
      <c r="X102" s="1181"/>
      <c r="Y102" s="1110"/>
      <c r="Z102" s="1110"/>
      <c r="AA102" s="1110"/>
      <c r="AB102" s="1110"/>
    </row>
    <row r="103" spans="1:28" x14ac:dyDescent="0.2">
      <c r="A103" s="1158"/>
      <c r="B103" s="1393"/>
      <c r="C103" s="1519"/>
      <c r="D103" s="1398"/>
      <c r="E103" s="1401"/>
      <c r="F103" s="1522"/>
      <c r="G103" s="1398"/>
      <c r="H103" s="1462"/>
      <c r="I103" s="1465"/>
      <c r="J103" s="1467"/>
      <c r="K103" s="1469"/>
      <c r="L103" s="1418"/>
      <c r="M103" s="1424"/>
      <c r="N103" s="1424"/>
      <c r="O103" s="1426"/>
      <c r="P103" s="1467"/>
      <c r="Q103" s="1475"/>
      <c r="R103" s="1487"/>
      <c r="S103" s="1467"/>
      <c r="T103" s="1467"/>
      <c r="U103" s="1182"/>
      <c r="V103" s="1183"/>
      <c r="W103" s="1184"/>
      <c r="X103" s="1185"/>
      <c r="Y103" s="1110"/>
      <c r="Z103" s="1110"/>
      <c r="AA103" s="1110"/>
      <c r="AB103" s="1110"/>
    </row>
    <row r="104" spans="1:28" x14ac:dyDescent="0.2">
      <c r="A104" s="1158"/>
      <c r="B104" s="1393"/>
      <c r="C104" s="1519"/>
      <c r="D104" s="1398"/>
      <c r="E104" s="1401"/>
      <c r="F104" s="1522"/>
      <c r="G104" s="1398"/>
      <c r="H104" s="1462"/>
      <c r="I104" s="1465"/>
      <c r="J104" s="1467"/>
      <c r="K104" s="1489" t="s">
        <v>1296</v>
      </c>
      <c r="L104" s="1421">
        <f>D102</f>
        <v>0</v>
      </c>
      <c r="M104" s="1491"/>
      <c r="N104" s="1491"/>
      <c r="O104" s="1493"/>
      <c r="P104" s="1467"/>
      <c r="Q104" s="1475"/>
      <c r="R104" s="1487"/>
      <c r="S104" s="1467"/>
      <c r="T104" s="1467"/>
      <c r="U104" s="1182"/>
      <c r="V104" s="1183"/>
      <c r="W104" s="1184"/>
      <c r="X104" s="1185"/>
      <c r="Y104" s="1110"/>
      <c r="Z104" s="1110"/>
      <c r="AA104" s="1110"/>
      <c r="AB104" s="1110"/>
    </row>
    <row r="105" spans="1:28" ht="13.5" thickBot="1" x14ac:dyDescent="0.25">
      <c r="A105" s="1158"/>
      <c r="B105" s="1393"/>
      <c r="C105" s="1519"/>
      <c r="D105" s="1398"/>
      <c r="E105" s="1401"/>
      <c r="F105" s="1522"/>
      <c r="G105" s="1398"/>
      <c r="H105" s="1462"/>
      <c r="I105" s="1465"/>
      <c r="J105" s="1467"/>
      <c r="K105" s="1489"/>
      <c r="L105" s="1421"/>
      <c r="M105" s="1491"/>
      <c r="N105" s="1491"/>
      <c r="O105" s="1493"/>
      <c r="P105" s="1467"/>
      <c r="Q105" s="1475"/>
      <c r="R105" s="1487"/>
      <c r="S105" s="1467"/>
      <c r="T105" s="1467"/>
      <c r="U105" s="1186"/>
      <c r="V105" s="1187"/>
      <c r="W105" s="1188"/>
      <c r="X105" s="1185"/>
      <c r="Y105" s="1110"/>
      <c r="Z105" s="1110"/>
      <c r="AA105" s="1110"/>
      <c r="AB105" s="1110"/>
    </row>
    <row r="106" spans="1:28" ht="13.5" thickBot="1" x14ac:dyDescent="0.25">
      <c r="A106" s="1158"/>
      <c r="B106" s="1394"/>
      <c r="C106" s="1520"/>
      <c r="D106" s="1444"/>
      <c r="E106" s="1445"/>
      <c r="F106" s="1523"/>
      <c r="G106" s="1444"/>
      <c r="H106" s="1480"/>
      <c r="I106" s="1482"/>
      <c r="J106" s="1484"/>
      <c r="K106" s="1499"/>
      <c r="L106" s="1472"/>
      <c r="M106" s="1500"/>
      <c r="N106" s="1500"/>
      <c r="O106" s="1501"/>
      <c r="P106" s="1484"/>
      <c r="Q106" s="1476"/>
      <c r="R106" s="1498"/>
      <c r="S106" s="1484"/>
      <c r="T106" s="1484"/>
      <c r="U106" s="1455" t="s">
        <v>1297</v>
      </c>
      <c r="V106" s="1456"/>
      <c r="W106" s="1457"/>
      <c r="X106" s="1190">
        <v>1</v>
      </c>
      <c r="Y106" s="1110"/>
      <c r="Z106" s="1110"/>
      <c r="AA106" s="1110"/>
      <c r="AB106" s="1110"/>
    </row>
    <row r="107" spans="1:28" ht="13.5" thickBot="1" x14ac:dyDescent="0.25">
      <c r="A107" s="1158"/>
      <c r="B107" s="1119"/>
      <c r="C107" s="1119"/>
      <c r="D107" s="1119"/>
      <c r="E107" s="1119"/>
      <c r="F107" s="1119"/>
      <c r="G107" s="1119"/>
      <c r="H107" s="1119"/>
      <c r="I107" s="1119"/>
      <c r="J107" s="1505" t="s">
        <v>1298</v>
      </c>
      <c r="K107" s="1506"/>
      <c r="L107" s="1506"/>
      <c r="M107" s="1506"/>
      <c r="N107" s="1506"/>
      <c r="O107" s="1506"/>
      <c r="P107" s="1506"/>
      <c r="Q107" s="1506"/>
      <c r="R107" s="1506"/>
      <c r="S107" s="1507"/>
      <c r="T107" s="1215" t="e">
        <f>(T77*F77+T82*F82+T87*F87+T92*F92+T97*F97+T102*F102)/(F77+F82+F87+F92+F97+F102)</f>
        <v>#DIV/0!</v>
      </c>
      <c r="U107" s="1508" t="s">
        <v>1299</v>
      </c>
      <c r="V107" s="1509"/>
      <c r="W107" s="1510"/>
      <c r="X107" s="1196" t="e">
        <f>(X81*F77+X86*F82+X91*F87+X96*F92+X101*F97+X106*F102)/(F77+F82+F87+F92+F97+F102)</f>
        <v>#DIV/0!</v>
      </c>
      <c r="Y107" s="1110"/>
      <c r="Z107" s="1110"/>
      <c r="AA107" s="1110"/>
      <c r="AB107" s="1110"/>
    </row>
    <row r="108" spans="1:28" ht="13.5" thickBot="1" x14ac:dyDescent="0.25">
      <c r="A108" s="1158"/>
      <c r="B108" s="1159"/>
      <c r="C108" s="1119"/>
      <c r="D108" s="1119"/>
      <c r="E108" s="1119"/>
      <c r="F108" s="1119"/>
      <c r="G108" s="1119"/>
      <c r="H108" s="1119"/>
      <c r="I108" s="1119"/>
      <c r="J108" s="1511" t="s">
        <v>1300</v>
      </c>
      <c r="K108" s="1512"/>
      <c r="L108" s="1512"/>
      <c r="M108" s="1512"/>
      <c r="N108" s="1512"/>
      <c r="O108" s="1512"/>
      <c r="P108" s="1512"/>
      <c r="Q108" s="1512"/>
      <c r="R108" s="1512"/>
      <c r="S108" s="1513"/>
      <c r="T108" s="1514" t="e">
        <f>T107*X107</f>
        <v>#DIV/0!</v>
      </c>
      <c r="U108" s="1514"/>
      <c r="V108" s="1514"/>
      <c r="W108" s="1514"/>
      <c r="X108" s="1515"/>
      <c r="Y108" s="1110"/>
      <c r="Z108" s="1110"/>
      <c r="AA108" s="1110"/>
      <c r="AB108" s="1110"/>
    </row>
    <row r="109" spans="1:28" x14ac:dyDescent="0.2">
      <c r="A109" s="1158"/>
      <c r="B109" s="1159"/>
      <c r="C109" s="1119"/>
      <c r="D109" s="1119"/>
      <c r="E109" s="1119"/>
      <c r="F109" s="1119"/>
      <c r="G109" s="1119"/>
      <c r="H109" s="1119"/>
      <c r="I109" s="1119"/>
      <c r="J109" s="1158"/>
      <c r="K109" s="1158"/>
      <c r="L109" s="1158"/>
      <c r="M109" s="1158"/>
      <c r="N109" s="1158"/>
      <c r="O109" s="1158"/>
      <c r="P109" s="1158"/>
      <c r="Q109" s="1158"/>
      <c r="R109" s="1158"/>
      <c r="S109" s="1110"/>
      <c r="T109" s="1110"/>
      <c r="U109" s="1110"/>
      <c r="V109" s="1110"/>
      <c r="W109" s="1110"/>
      <c r="X109" s="1161"/>
      <c r="Y109" s="1110"/>
      <c r="Z109" s="1110"/>
      <c r="AA109" s="1110"/>
      <c r="AB109" s="1110"/>
    </row>
    <row r="110" spans="1:28" ht="13.5" thickBot="1" x14ac:dyDescent="0.25">
      <c r="A110" s="1158"/>
      <c r="B110" s="1158"/>
      <c r="C110" s="1158"/>
      <c r="D110" s="1158"/>
      <c r="E110" s="1158"/>
      <c r="F110" s="1158"/>
      <c r="G110" s="1158"/>
      <c r="H110" s="1158"/>
      <c r="I110" s="1158"/>
      <c r="J110" s="1158"/>
      <c r="K110" s="1158"/>
      <c r="L110" s="1158"/>
      <c r="M110" s="1158"/>
      <c r="N110" s="1158"/>
      <c r="O110" s="1158"/>
      <c r="P110" s="1158"/>
      <c r="Q110" s="1158"/>
      <c r="R110" s="1158"/>
      <c r="S110" s="1110"/>
      <c r="T110" s="1110"/>
      <c r="U110" s="1110"/>
      <c r="V110" s="1110"/>
      <c r="W110" s="1110"/>
      <c r="X110" s="1161"/>
      <c r="Y110" s="1110"/>
      <c r="Z110" s="1110"/>
      <c r="AA110" s="1110"/>
      <c r="AB110" s="1110"/>
    </row>
    <row r="111" spans="1:28" ht="13.5" hidden="1" thickBot="1" x14ac:dyDescent="0.25">
      <c r="A111" s="1158"/>
      <c r="B111" s="1158"/>
      <c r="C111" s="1158"/>
      <c r="D111" s="1158"/>
      <c r="E111" s="1158"/>
      <c r="F111" s="1158"/>
      <c r="G111" s="1429" t="s">
        <v>1282</v>
      </c>
      <c r="H111" s="1430"/>
      <c r="I111" s="1430"/>
      <c r="J111" s="1430"/>
      <c r="K111" s="1431"/>
      <c r="L111" s="1431"/>
      <c r="M111" s="1431"/>
      <c r="N111" s="1431"/>
      <c r="O111" s="1431"/>
      <c r="P111" s="1431"/>
      <c r="Q111" s="1430"/>
      <c r="R111" s="1430"/>
      <c r="S111" s="1430"/>
      <c r="T111" s="1432"/>
      <c r="U111" s="1433" t="s">
        <v>1283</v>
      </c>
      <c r="V111" s="1434"/>
      <c r="W111" s="1434"/>
      <c r="X111" s="1435"/>
      <c r="Y111" s="1110"/>
      <c r="Z111" s="1110"/>
      <c r="AA111" s="1110"/>
      <c r="AB111" s="1110"/>
    </row>
    <row r="112" spans="1:28" ht="13.5" hidden="1" thickBot="1" x14ac:dyDescent="0.25">
      <c r="A112" s="1158"/>
      <c r="B112" s="1200" t="s">
        <v>793</v>
      </c>
      <c r="C112" s="1201" t="s">
        <v>1284</v>
      </c>
      <c r="D112" s="1202"/>
      <c r="E112" s="1202"/>
      <c r="F112" s="1203" t="s">
        <v>1287</v>
      </c>
      <c r="G112" s="1204" t="s">
        <v>1161</v>
      </c>
      <c r="H112" s="1205" t="s">
        <v>339</v>
      </c>
      <c r="I112" s="1206" t="s">
        <v>1164</v>
      </c>
      <c r="J112" s="1169" t="s">
        <v>1288</v>
      </c>
      <c r="K112" s="1170" t="s">
        <v>1289</v>
      </c>
      <c r="L112" s="1171" t="s">
        <v>1176</v>
      </c>
      <c r="M112" s="1171" t="s">
        <v>1178</v>
      </c>
      <c r="N112" s="1171" t="s">
        <v>303</v>
      </c>
      <c r="O112" s="1172" t="s">
        <v>565</v>
      </c>
      <c r="P112" s="1169" t="s">
        <v>1290</v>
      </c>
      <c r="Q112" s="1173" t="s">
        <v>1231</v>
      </c>
      <c r="R112" s="1174" t="s">
        <v>1291</v>
      </c>
      <c r="S112" s="1207" t="s">
        <v>1292</v>
      </c>
      <c r="T112" s="1208" t="s">
        <v>1293</v>
      </c>
      <c r="U112" s="1209" t="s">
        <v>336</v>
      </c>
      <c r="V112" s="1210" t="s">
        <v>337</v>
      </c>
      <c r="W112" s="1211" t="s">
        <v>1294</v>
      </c>
      <c r="X112" s="1177" t="s">
        <v>1158</v>
      </c>
      <c r="Y112" s="1110"/>
      <c r="Z112" s="1110"/>
      <c r="AA112" s="1110"/>
      <c r="AB112" s="1110"/>
    </row>
    <row r="113" spans="1:28" ht="13.5" hidden="1" thickBot="1" x14ac:dyDescent="0.25">
      <c r="A113" s="1158"/>
      <c r="B113" s="1392" t="s">
        <v>302</v>
      </c>
      <c r="C113" s="1477"/>
      <c r="D113" s="1212"/>
      <c r="E113" s="1212"/>
      <c r="F113" s="1477">
        <v>1</v>
      </c>
      <c r="G113" s="1502"/>
      <c r="H113" s="1479"/>
      <c r="I113" s="1481"/>
      <c r="J113" s="1483">
        <v>1</v>
      </c>
      <c r="K113" s="1485" t="s">
        <v>1295</v>
      </c>
      <c r="L113" s="1427"/>
      <c r="M113" s="1427"/>
      <c r="N113" s="1427"/>
      <c r="O113" s="1428"/>
      <c r="P113" s="1483">
        <f>1-O113-O115</f>
        <v>1</v>
      </c>
      <c r="Q113" s="1474"/>
      <c r="R113" s="1497"/>
      <c r="S113" s="1483">
        <v>1</v>
      </c>
      <c r="T113" s="1483">
        <f>J113*P113*S113</f>
        <v>1</v>
      </c>
      <c r="U113" s="1191"/>
      <c r="V113" s="1192"/>
      <c r="W113" s="1193"/>
      <c r="X113" s="1181"/>
      <c r="Y113" s="1110"/>
      <c r="Z113" s="1110"/>
      <c r="AA113" s="1110"/>
      <c r="AB113" s="1110"/>
    </row>
    <row r="114" spans="1:28" ht="13.5" hidden="1" thickBot="1" x14ac:dyDescent="0.25">
      <c r="A114" s="1158"/>
      <c r="B114" s="1393"/>
      <c r="C114" s="1458"/>
      <c r="D114" s="1213"/>
      <c r="E114" s="1213"/>
      <c r="F114" s="1458"/>
      <c r="G114" s="1503"/>
      <c r="H114" s="1462"/>
      <c r="I114" s="1465"/>
      <c r="J114" s="1467"/>
      <c r="K114" s="1469"/>
      <c r="L114" s="1424"/>
      <c r="M114" s="1424"/>
      <c r="N114" s="1424"/>
      <c r="O114" s="1426"/>
      <c r="P114" s="1467"/>
      <c r="Q114" s="1475"/>
      <c r="R114" s="1487"/>
      <c r="S114" s="1467"/>
      <c r="T114" s="1467"/>
      <c r="U114" s="1182"/>
      <c r="V114" s="1183"/>
      <c r="W114" s="1184"/>
      <c r="X114" s="1185"/>
      <c r="Y114" s="1110"/>
      <c r="Z114" s="1110"/>
      <c r="AA114" s="1110"/>
      <c r="AB114" s="1110"/>
    </row>
    <row r="115" spans="1:28" ht="13.5" hidden="1" thickBot="1" x14ac:dyDescent="0.25">
      <c r="A115" s="1158"/>
      <c r="B115" s="1393"/>
      <c r="C115" s="1458"/>
      <c r="D115" s="1213"/>
      <c r="E115" s="1213"/>
      <c r="F115" s="1458"/>
      <c r="G115" s="1503"/>
      <c r="H115" s="1462"/>
      <c r="I115" s="1465"/>
      <c r="J115" s="1467"/>
      <c r="K115" s="1489" t="s">
        <v>1296</v>
      </c>
      <c r="L115" s="1491"/>
      <c r="M115" s="1491"/>
      <c r="N115" s="1491"/>
      <c r="O115" s="1493"/>
      <c r="P115" s="1467"/>
      <c r="Q115" s="1475"/>
      <c r="R115" s="1487"/>
      <c r="S115" s="1467"/>
      <c r="T115" s="1467"/>
      <c r="U115" s="1182"/>
      <c r="V115" s="1183"/>
      <c r="W115" s="1184"/>
      <c r="X115" s="1185"/>
      <c r="Y115" s="1110"/>
      <c r="Z115" s="1110"/>
      <c r="AA115" s="1110"/>
      <c r="AB115" s="1110"/>
    </row>
    <row r="116" spans="1:28" ht="13.5" hidden="1" thickBot="1" x14ac:dyDescent="0.25">
      <c r="A116" s="1158"/>
      <c r="B116" s="1393"/>
      <c r="C116" s="1458"/>
      <c r="D116" s="1213"/>
      <c r="E116" s="1213"/>
      <c r="F116" s="1458"/>
      <c r="G116" s="1503"/>
      <c r="H116" s="1462"/>
      <c r="I116" s="1465"/>
      <c r="J116" s="1467"/>
      <c r="K116" s="1489"/>
      <c r="L116" s="1491"/>
      <c r="M116" s="1491"/>
      <c r="N116" s="1491"/>
      <c r="O116" s="1493"/>
      <c r="P116" s="1467"/>
      <c r="Q116" s="1475"/>
      <c r="R116" s="1487"/>
      <c r="S116" s="1467"/>
      <c r="T116" s="1467"/>
      <c r="U116" s="1186"/>
      <c r="V116" s="1187"/>
      <c r="W116" s="1188"/>
      <c r="X116" s="1185"/>
      <c r="Y116" s="1110"/>
      <c r="Z116" s="1110"/>
      <c r="AA116" s="1110"/>
      <c r="AB116" s="1110"/>
    </row>
    <row r="117" spans="1:28" ht="13.5" hidden="1" thickBot="1" x14ac:dyDescent="0.25">
      <c r="A117" s="1158"/>
      <c r="B117" s="1393"/>
      <c r="C117" s="1478"/>
      <c r="D117" s="1214"/>
      <c r="E117" s="1214"/>
      <c r="F117" s="1478"/>
      <c r="G117" s="1504"/>
      <c r="H117" s="1463"/>
      <c r="I117" s="1466"/>
      <c r="J117" s="1467"/>
      <c r="K117" s="1490"/>
      <c r="L117" s="1492"/>
      <c r="M117" s="1492"/>
      <c r="N117" s="1492"/>
      <c r="O117" s="1494"/>
      <c r="P117" s="1467"/>
      <c r="Q117" s="1496"/>
      <c r="R117" s="1488"/>
      <c r="S117" s="1467"/>
      <c r="T117" s="1467"/>
      <c r="U117" s="1455" t="s">
        <v>1297</v>
      </c>
      <c r="V117" s="1456"/>
      <c r="W117" s="1457"/>
      <c r="X117" s="1190">
        <v>1</v>
      </c>
      <c r="Y117" s="1110"/>
      <c r="Z117" s="1110"/>
      <c r="AA117" s="1110"/>
      <c r="AB117" s="1110"/>
    </row>
    <row r="118" spans="1:28" ht="13.5" hidden="1" thickBot="1" x14ac:dyDescent="0.25">
      <c r="A118" s="1158"/>
      <c r="B118" s="1393"/>
      <c r="C118" s="1477"/>
      <c r="D118" s="1212"/>
      <c r="E118" s="1212"/>
      <c r="F118" s="1477">
        <v>1</v>
      </c>
      <c r="G118" s="1502"/>
      <c r="H118" s="1479"/>
      <c r="I118" s="1481"/>
      <c r="J118" s="1483">
        <v>1</v>
      </c>
      <c r="K118" s="1485" t="s">
        <v>1295</v>
      </c>
      <c r="L118" s="1427"/>
      <c r="M118" s="1427"/>
      <c r="N118" s="1427"/>
      <c r="O118" s="1428"/>
      <c r="P118" s="1483">
        <f>1-O118-O120</f>
        <v>1</v>
      </c>
      <c r="Q118" s="1474"/>
      <c r="R118" s="1497"/>
      <c r="S118" s="1483">
        <v>1</v>
      </c>
      <c r="T118" s="1483">
        <f>J118*P118*S118</f>
        <v>1</v>
      </c>
      <c r="U118" s="1191"/>
      <c r="V118" s="1192"/>
      <c r="W118" s="1193"/>
      <c r="X118" s="1181"/>
      <c r="Y118" s="1110"/>
      <c r="Z118" s="1110"/>
      <c r="AA118" s="1110"/>
      <c r="AB118" s="1110"/>
    </row>
    <row r="119" spans="1:28" ht="13.5" hidden="1" thickBot="1" x14ac:dyDescent="0.25">
      <c r="A119" s="1158"/>
      <c r="B119" s="1393"/>
      <c r="C119" s="1458"/>
      <c r="D119" s="1213"/>
      <c r="E119" s="1213"/>
      <c r="F119" s="1458"/>
      <c r="G119" s="1503"/>
      <c r="H119" s="1462"/>
      <c r="I119" s="1465"/>
      <c r="J119" s="1467"/>
      <c r="K119" s="1469"/>
      <c r="L119" s="1424"/>
      <c r="M119" s="1424"/>
      <c r="N119" s="1424"/>
      <c r="O119" s="1426"/>
      <c r="P119" s="1467"/>
      <c r="Q119" s="1475"/>
      <c r="R119" s="1487"/>
      <c r="S119" s="1467"/>
      <c r="T119" s="1467"/>
      <c r="U119" s="1182"/>
      <c r="V119" s="1183"/>
      <c r="W119" s="1184"/>
      <c r="X119" s="1185"/>
      <c r="Y119" s="1110"/>
      <c r="Z119" s="1110"/>
      <c r="AA119" s="1110"/>
      <c r="AB119" s="1110"/>
    </row>
    <row r="120" spans="1:28" ht="13.5" hidden="1" thickBot="1" x14ac:dyDescent="0.25">
      <c r="A120" s="1158"/>
      <c r="B120" s="1393"/>
      <c r="C120" s="1458"/>
      <c r="D120" s="1213"/>
      <c r="E120" s="1213"/>
      <c r="F120" s="1458"/>
      <c r="G120" s="1503"/>
      <c r="H120" s="1462"/>
      <c r="I120" s="1465"/>
      <c r="J120" s="1467"/>
      <c r="K120" s="1489" t="s">
        <v>1296</v>
      </c>
      <c r="L120" s="1491"/>
      <c r="M120" s="1491"/>
      <c r="N120" s="1491"/>
      <c r="O120" s="1493"/>
      <c r="P120" s="1467"/>
      <c r="Q120" s="1475"/>
      <c r="R120" s="1487"/>
      <c r="S120" s="1467"/>
      <c r="T120" s="1467"/>
      <c r="U120" s="1182"/>
      <c r="V120" s="1183"/>
      <c r="W120" s="1184"/>
      <c r="X120" s="1185"/>
      <c r="Y120" s="1110"/>
      <c r="Z120" s="1110"/>
      <c r="AA120" s="1110"/>
      <c r="AB120" s="1110"/>
    </row>
    <row r="121" spans="1:28" ht="13.5" hidden="1" thickBot="1" x14ac:dyDescent="0.25">
      <c r="A121" s="1158"/>
      <c r="B121" s="1393"/>
      <c r="C121" s="1458"/>
      <c r="D121" s="1213"/>
      <c r="E121" s="1213"/>
      <c r="F121" s="1458"/>
      <c r="G121" s="1503"/>
      <c r="H121" s="1462"/>
      <c r="I121" s="1465"/>
      <c r="J121" s="1467"/>
      <c r="K121" s="1489"/>
      <c r="L121" s="1491"/>
      <c r="M121" s="1491"/>
      <c r="N121" s="1491"/>
      <c r="O121" s="1493"/>
      <c r="P121" s="1467"/>
      <c r="Q121" s="1475"/>
      <c r="R121" s="1487"/>
      <c r="S121" s="1467"/>
      <c r="T121" s="1467"/>
      <c r="U121" s="1186"/>
      <c r="V121" s="1187"/>
      <c r="W121" s="1188"/>
      <c r="X121" s="1185"/>
      <c r="Y121" s="1110"/>
      <c r="Z121" s="1110"/>
      <c r="AA121" s="1110"/>
      <c r="AB121" s="1110"/>
    </row>
    <row r="122" spans="1:28" ht="13.5" hidden="1" thickBot="1" x14ac:dyDescent="0.25">
      <c r="A122" s="1158"/>
      <c r="B122" s="1393"/>
      <c r="C122" s="1478"/>
      <c r="D122" s="1214"/>
      <c r="E122" s="1214"/>
      <c r="F122" s="1478"/>
      <c r="G122" s="1516"/>
      <c r="H122" s="1480"/>
      <c r="I122" s="1482"/>
      <c r="J122" s="1484"/>
      <c r="K122" s="1499"/>
      <c r="L122" s="1500"/>
      <c r="M122" s="1500"/>
      <c r="N122" s="1500"/>
      <c r="O122" s="1501"/>
      <c r="P122" s="1484"/>
      <c r="Q122" s="1476"/>
      <c r="R122" s="1498"/>
      <c r="S122" s="1484"/>
      <c r="T122" s="1484"/>
      <c r="U122" s="1455" t="s">
        <v>1297</v>
      </c>
      <c r="V122" s="1456"/>
      <c r="W122" s="1457"/>
      <c r="X122" s="1190">
        <v>1</v>
      </c>
      <c r="Y122" s="1110"/>
      <c r="Z122" s="1110"/>
      <c r="AA122" s="1110"/>
      <c r="AB122" s="1110"/>
    </row>
    <row r="123" spans="1:28" ht="13.5" hidden="1" thickBot="1" x14ac:dyDescent="0.25">
      <c r="A123" s="1158"/>
      <c r="B123" s="1393"/>
      <c r="C123" s="1477"/>
      <c r="D123" s="1212"/>
      <c r="E123" s="1212"/>
      <c r="F123" s="1477">
        <v>1</v>
      </c>
      <c r="G123" s="1517"/>
      <c r="H123" s="1461"/>
      <c r="I123" s="1464"/>
      <c r="J123" s="1467">
        <v>1</v>
      </c>
      <c r="K123" s="1468" t="s">
        <v>1295</v>
      </c>
      <c r="L123" s="1423"/>
      <c r="M123" s="1423"/>
      <c r="N123" s="1423"/>
      <c r="O123" s="1425"/>
      <c r="P123" s="1467">
        <f>1-O123-O125</f>
        <v>1</v>
      </c>
      <c r="Q123" s="1495"/>
      <c r="R123" s="1486"/>
      <c r="S123" s="1467">
        <v>1</v>
      </c>
      <c r="T123" s="1467">
        <f>J123*P123*S123</f>
        <v>1</v>
      </c>
      <c r="U123" s="1191"/>
      <c r="V123" s="1192"/>
      <c r="W123" s="1193"/>
      <c r="X123" s="1181"/>
      <c r="Y123" s="1110"/>
      <c r="Z123" s="1110"/>
      <c r="AA123" s="1110"/>
      <c r="AB123" s="1110"/>
    </row>
    <row r="124" spans="1:28" ht="13.5" hidden="1" thickBot="1" x14ac:dyDescent="0.25">
      <c r="A124" s="1158"/>
      <c r="B124" s="1393"/>
      <c r="C124" s="1458"/>
      <c r="D124" s="1213"/>
      <c r="E124" s="1213"/>
      <c r="F124" s="1458"/>
      <c r="G124" s="1503"/>
      <c r="H124" s="1462"/>
      <c r="I124" s="1465"/>
      <c r="J124" s="1467"/>
      <c r="K124" s="1469"/>
      <c r="L124" s="1424"/>
      <c r="M124" s="1424"/>
      <c r="N124" s="1424"/>
      <c r="O124" s="1426"/>
      <c r="P124" s="1467"/>
      <c r="Q124" s="1475"/>
      <c r="R124" s="1487"/>
      <c r="S124" s="1467"/>
      <c r="T124" s="1467"/>
      <c r="U124" s="1182"/>
      <c r="V124" s="1183"/>
      <c r="W124" s="1184"/>
      <c r="X124" s="1185"/>
      <c r="Y124" s="1110"/>
      <c r="Z124" s="1110"/>
      <c r="AA124" s="1110"/>
      <c r="AB124" s="1110"/>
    </row>
    <row r="125" spans="1:28" ht="13.5" hidden="1" thickBot="1" x14ac:dyDescent="0.25">
      <c r="A125" s="1158"/>
      <c r="B125" s="1393"/>
      <c r="C125" s="1458"/>
      <c r="D125" s="1213"/>
      <c r="E125" s="1213"/>
      <c r="F125" s="1458"/>
      <c r="G125" s="1503"/>
      <c r="H125" s="1462"/>
      <c r="I125" s="1465"/>
      <c r="J125" s="1467"/>
      <c r="K125" s="1489" t="s">
        <v>1296</v>
      </c>
      <c r="L125" s="1491"/>
      <c r="M125" s="1491"/>
      <c r="N125" s="1491"/>
      <c r="O125" s="1493"/>
      <c r="P125" s="1467"/>
      <c r="Q125" s="1475"/>
      <c r="R125" s="1487"/>
      <c r="S125" s="1467"/>
      <c r="T125" s="1467"/>
      <c r="U125" s="1182"/>
      <c r="V125" s="1183"/>
      <c r="W125" s="1184"/>
      <c r="X125" s="1185"/>
      <c r="Y125" s="1110"/>
      <c r="Z125" s="1110"/>
      <c r="AA125" s="1110"/>
      <c r="AB125" s="1110"/>
    </row>
    <row r="126" spans="1:28" ht="13.5" hidden="1" thickBot="1" x14ac:dyDescent="0.25">
      <c r="A126" s="1158"/>
      <c r="B126" s="1393"/>
      <c r="C126" s="1458"/>
      <c r="D126" s="1213"/>
      <c r="E126" s="1213"/>
      <c r="F126" s="1458"/>
      <c r="G126" s="1503"/>
      <c r="H126" s="1462"/>
      <c r="I126" s="1465"/>
      <c r="J126" s="1467"/>
      <c r="K126" s="1489"/>
      <c r="L126" s="1491"/>
      <c r="M126" s="1491"/>
      <c r="N126" s="1491"/>
      <c r="O126" s="1493"/>
      <c r="P126" s="1467"/>
      <c r="Q126" s="1475"/>
      <c r="R126" s="1487"/>
      <c r="S126" s="1467"/>
      <c r="T126" s="1467"/>
      <c r="U126" s="1186"/>
      <c r="V126" s="1187"/>
      <c r="W126" s="1188"/>
      <c r="X126" s="1185"/>
      <c r="Y126" s="1110"/>
      <c r="Z126" s="1110"/>
      <c r="AA126" s="1110"/>
      <c r="AB126" s="1110"/>
    </row>
    <row r="127" spans="1:28" ht="13.5" hidden="1" thickBot="1" x14ac:dyDescent="0.25">
      <c r="A127" s="1158"/>
      <c r="B127" s="1393"/>
      <c r="C127" s="1478"/>
      <c r="D127" s="1214"/>
      <c r="E127" s="1214"/>
      <c r="F127" s="1478"/>
      <c r="G127" s="1504"/>
      <c r="H127" s="1463"/>
      <c r="I127" s="1466"/>
      <c r="J127" s="1467"/>
      <c r="K127" s="1490"/>
      <c r="L127" s="1492"/>
      <c r="M127" s="1492"/>
      <c r="N127" s="1492"/>
      <c r="O127" s="1494"/>
      <c r="P127" s="1467"/>
      <c r="Q127" s="1496"/>
      <c r="R127" s="1488"/>
      <c r="S127" s="1467"/>
      <c r="T127" s="1467"/>
      <c r="U127" s="1455" t="s">
        <v>1297</v>
      </c>
      <c r="V127" s="1456"/>
      <c r="W127" s="1457"/>
      <c r="X127" s="1190">
        <v>1</v>
      </c>
      <c r="Y127" s="1110"/>
      <c r="Z127" s="1110"/>
      <c r="AA127" s="1110"/>
      <c r="AB127" s="1110"/>
    </row>
    <row r="128" spans="1:28" ht="13.5" hidden="1" thickBot="1" x14ac:dyDescent="0.25">
      <c r="A128" s="1158"/>
      <c r="B128" s="1393"/>
      <c r="C128" s="1477"/>
      <c r="D128" s="1212"/>
      <c r="E128" s="1212"/>
      <c r="F128" s="1477">
        <v>1</v>
      </c>
      <c r="G128" s="1502"/>
      <c r="H128" s="1479"/>
      <c r="I128" s="1481"/>
      <c r="J128" s="1483">
        <v>1</v>
      </c>
      <c r="K128" s="1485" t="s">
        <v>1295</v>
      </c>
      <c r="L128" s="1427"/>
      <c r="M128" s="1427"/>
      <c r="N128" s="1427"/>
      <c r="O128" s="1428"/>
      <c r="P128" s="1483">
        <f>1-O128-O130</f>
        <v>1</v>
      </c>
      <c r="Q128" s="1474"/>
      <c r="R128" s="1497"/>
      <c r="S128" s="1483">
        <v>1</v>
      </c>
      <c r="T128" s="1483">
        <f>J128*P128*S128</f>
        <v>1</v>
      </c>
      <c r="U128" s="1191"/>
      <c r="V128" s="1192"/>
      <c r="W128" s="1193"/>
      <c r="X128" s="1181"/>
      <c r="Y128" s="1110"/>
      <c r="Z128" s="1110"/>
      <c r="AA128" s="1110"/>
      <c r="AB128" s="1110"/>
    </row>
    <row r="129" spans="1:28" ht="13.5" hidden="1" thickBot="1" x14ac:dyDescent="0.25">
      <c r="A129" s="1158"/>
      <c r="B129" s="1393"/>
      <c r="C129" s="1458"/>
      <c r="D129" s="1213"/>
      <c r="E129" s="1213"/>
      <c r="F129" s="1458"/>
      <c r="G129" s="1503"/>
      <c r="H129" s="1462"/>
      <c r="I129" s="1465"/>
      <c r="J129" s="1467"/>
      <c r="K129" s="1469"/>
      <c r="L129" s="1424"/>
      <c r="M129" s="1424"/>
      <c r="N129" s="1424"/>
      <c r="O129" s="1426"/>
      <c r="P129" s="1467"/>
      <c r="Q129" s="1475"/>
      <c r="R129" s="1487"/>
      <c r="S129" s="1467"/>
      <c r="T129" s="1467"/>
      <c r="U129" s="1182"/>
      <c r="V129" s="1183"/>
      <c r="W129" s="1184"/>
      <c r="X129" s="1185"/>
      <c r="Y129" s="1110"/>
      <c r="Z129" s="1110"/>
      <c r="AA129" s="1110"/>
      <c r="AB129" s="1110"/>
    </row>
    <row r="130" spans="1:28" ht="13.5" hidden="1" thickBot="1" x14ac:dyDescent="0.25">
      <c r="A130" s="1158"/>
      <c r="B130" s="1393"/>
      <c r="C130" s="1458"/>
      <c r="D130" s="1213"/>
      <c r="E130" s="1213"/>
      <c r="F130" s="1458"/>
      <c r="G130" s="1503"/>
      <c r="H130" s="1462"/>
      <c r="I130" s="1465"/>
      <c r="J130" s="1467"/>
      <c r="K130" s="1489" t="s">
        <v>1296</v>
      </c>
      <c r="L130" s="1491"/>
      <c r="M130" s="1491"/>
      <c r="N130" s="1491"/>
      <c r="O130" s="1493"/>
      <c r="P130" s="1467"/>
      <c r="Q130" s="1475"/>
      <c r="R130" s="1487"/>
      <c r="S130" s="1467"/>
      <c r="T130" s="1467"/>
      <c r="U130" s="1182"/>
      <c r="V130" s="1183"/>
      <c r="W130" s="1184"/>
      <c r="X130" s="1185"/>
      <c r="Y130" s="1110"/>
      <c r="Z130" s="1110"/>
      <c r="AA130" s="1110"/>
      <c r="AB130" s="1110"/>
    </row>
    <row r="131" spans="1:28" ht="13.5" hidden="1" thickBot="1" x14ac:dyDescent="0.25">
      <c r="A131" s="1158"/>
      <c r="B131" s="1393"/>
      <c r="C131" s="1458"/>
      <c r="D131" s="1213"/>
      <c r="E131" s="1213"/>
      <c r="F131" s="1458"/>
      <c r="G131" s="1503"/>
      <c r="H131" s="1462"/>
      <c r="I131" s="1465"/>
      <c r="J131" s="1467"/>
      <c r="K131" s="1489"/>
      <c r="L131" s="1491"/>
      <c r="M131" s="1491"/>
      <c r="N131" s="1491"/>
      <c r="O131" s="1493"/>
      <c r="P131" s="1467"/>
      <c r="Q131" s="1475"/>
      <c r="R131" s="1487"/>
      <c r="S131" s="1467"/>
      <c r="T131" s="1467"/>
      <c r="U131" s="1186"/>
      <c r="V131" s="1187"/>
      <c r="W131" s="1188"/>
      <c r="X131" s="1185"/>
      <c r="Y131" s="1110"/>
      <c r="Z131" s="1110"/>
      <c r="AA131" s="1110"/>
      <c r="AB131" s="1110"/>
    </row>
    <row r="132" spans="1:28" ht="13.5" hidden="1" thickBot="1" x14ac:dyDescent="0.25">
      <c r="A132" s="1158"/>
      <c r="B132" s="1393"/>
      <c r="C132" s="1478"/>
      <c r="D132" s="1214"/>
      <c r="E132" s="1214"/>
      <c r="F132" s="1478"/>
      <c r="G132" s="1516"/>
      <c r="H132" s="1480"/>
      <c r="I132" s="1482"/>
      <c r="J132" s="1484"/>
      <c r="K132" s="1499"/>
      <c r="L132" s="1500"/>
      <c r="M132" s="1500"/>
      <c r="N132" s="1500"/>
      <c r="O132" s="1501"/>
      <c r="P132" s="1484"/>
      <c r="Q132" s="1476"/>
      <c r="R132" s="1498"/>
      <c r="S132" s="1484"/>
      <c r="T132" s="1484"/>
      <c r="U132" s="1455" t="s">
        <v>1297</v>
      </c>
      <c r="V132" s="1456"/>
      <c r="W132" s="1457"/>
      <c r="X132" s="1190">
        <v>1</v>
      </c>
      <c r="Y132" s="1110"/>
      <c r="Z132" s="1110"/>
      <c r="AA132" s="1110"/>
      <c r="AB132" s="1110"/>
    </row>
    <row r="133" spans="1:28" ht="13.5" hidden="1" thickBot="1" x14ac:dyDescent="0.25">
      <c r="A133" s="1158"/>
      <c r="B133" s="1393"/>
      <c r="C133" s="1477"/>
      <c r="D133" s="1212"/>
      <c r="E133" s="1212"/>
      <c r="F133" s="1477">
        <v>1</v>
      </c>
      <c r="G133" s="1517"/>
      <c r="H133" s="1461"/>
      <c r="I133" s="1464"/>
      <c r="J133" s="1467">
        <v>1</v>
      </c>
      <c r="K133" s="1468" t="s">
        <v>1295</v>
      </c>
      <c r="L133" s="1423"/>
      <c r="M133" s="1423"/>
      <c r="N133" s="1423"/>
      <c r="O133" s="1425"/>
      <c r="P133" s="1467">
        <f>1-O133-O135</f>
        <v>1</v>
      </c>
      <c r="Q133" s="1495"/>
      <c r="R133" s="1486"/>
      <c r="S133" s="1467">
        <v>1</v>
      </c>
      <c r="T133" s="1467">
        <f>J133*P133*S133</f>
        <v>1</v>
      </c>
      <c r="U133" s="1191"/>
      <c r="V133" s="1192"/>
      <c r="W133" s="1193"/>
      <c r="X133" s="1181"/>
      <c r="Y133" s="1110"/>
      <c r="Z133" s="1110"/>
      <c r="AA133" s="1110"/>
      <c r="AB133" s="1110"/>
    </row>
    <row r="134" spans="1:28" ht="13.5" hidden="1" thickBot="1" x14ac:dyDescent="0.25">
      <c r="A134" s="1158"/>
      <c r="B134" s="1393"/>
      <c r="C134" s="1458"/>
      <c r="D134" s="1213"/>
      <c r="E134" s="1213"/>
      <c r="F134" s="1458"/>
      <c r="G134" s="1503"/>
      <c r="H134" s="1462"/>
      <c r="I134" s="1465"/>
      <c r="J134" s="1467"/>
      <c r="K134" s="1469"/>
      <c r="L134" s="1424"/>
      <c r="M134" s="1424"/>
      <c r="N134" s="1424"/>
      <c r="O134" s="1426"/>
      <c r="P134" s="1467"/>
      <c r="Q134" s="1475"/>
      <c r="R134" s="1487"/>
      <c r="S134" s="1467"/>
      <c r="T134" s="1467"/>
      <c r="U134" s="1182"/>
      <c r="V134" s="1183"/>
      <c r="W134" s="1184"/>
      <c r="X134" s="1185"/>
      <c r="Y134" s="1110"/>
      <c r="Z134" s="1110"/>
      <c r="AA134" s="1110"/>
      <c r="AB134" s="1110"/>
    </row>
    <row r="135" spans="1:28" ht="13.5" hidden="1" thickBot="1" x14ac:dyDescent="0.25">
      <c r="A135" s="1158"/>
      <c r="B135" s="1393"/>
      <c r="C135" s="1458"/>
      <c r="D135" s="1213"/>
      <c r="E135" s="1213"/>
      <c r="F135" s="1458"/>
      <c r="G135" s="1503"/>
      <c r="H135" s="1462"/>
      <c r="I135" s="1465"/>
      <c r="J135" s="1467"/>
      <c r="K135" s="1489" t="s">
        <v>1296</v>
      </c>
      <c r="L135" s="1491"/>
      <c r="M135" s="1491"/>
      <c r="N135" s="1491"/>
      <c r="O135" s="1493"/>
      <c r="P135" s="1467"/>
      <c r="Q135" s="1475"/>
      <c r="R135" s="1487"/>
      <c r="S135" s="1467"/>
      <c r="T135" s="1467"/>
      <c r="U135" s="1182"/>
      <c r="V135" s="1183"/>
      <c r="W135" s="1184"/>
      <c r="X135" s="1185"/>
      <c r="Y135" s="1110"/>
      <c r="Z135" s="1110"/>
      <c r="AA135" s="1110"/>
      <c r="AB135" s="1110"/>
    </row>
    <row r="136" spans="1:28" ht="13.5" hidden="1" thickBot="1" x14ac:dyDescent="0.25">
      <c r="A136" s="1158"/>
      <c r="B136" s="1393"/>
      <c r="C136" s="1458"/>
      <c r="D136" s="1213"/>
      <c r="E136" s="1213"/>
      <c r="F136" s="1458"/>
      <c r="G136" s="1503"/>
      <c r="H136" s="1462"/>
      <c r="I136" s="1465"/>
      <c r="J136" s="1467"/>
      <c r="K136" s="1489"/>
      <c r="L136" s="1491"/>
      <c r="M136" s="1491"/>
      <c r="N136" s="1491"/>
      <c r="O136" s="1493"/>
      <c r="P136" s="1467"/>
      <c r="Q136" s="1475"/>
      <c r="R136" s="1487"/>
      <c r="S136" s="1467"/>
      <c r="T136" s="1467"/>
      <c r="U136" s="1186"/>
      <c r="V136" s="1187"/>
      <c r="W136" s="1188"/>
      <c r="X136" s="1185"/>
      <c r="Y136" s="1110"/>
      <c r="Z136" s="1110"/>
      <c r="AA136" s="1110"/>
      <c r="AB136" s="1110"/>
    </row>
    <row r="137" spans="1:28" ht="13.5" hidden="1" thickBot="1" x14ac:dyDescent="0.25">
      <c r="A137" s="1158"/>
      <c r="B137" s="1393"/>
      <c r="C137" s="1478"/>
      <c r="D137" s="1214"/>
      <c r="E137" s="1214"/>
      <c r="F137" s="1478"/>
      <c r="G137" s="1504"/>
      <c r="H137" s="1463"/>
      <c r="I137" s="1466"/>
      <c r="J137" s="1467"/>
      <c r="K137" s="1490"/>
      <c r="L137" s="1492"/>
      <c r="M137" s="1492"/>
      <c r="N137" s="1492"/>
      <c r="O137" s="1494"/>
      <c r="P137" s="1467"/>
      <c r="Q137" s="1496"/>
      <c r="R137" s="1488"/>
      <c r="S137" s="1467"/>
      <c r="T137" s="1467"/>
      <c r="U137" s="1455" t="s">
        <v>1297</v>
      </c>
      <c r="V137" s="1456"/>
      <c r="W137" s="1457"/>
      <c r="X137" s="1190">
        <v>1</v>
      </c>
      <c r="Y137" s="1110"/>
      <c r="Z137" s="1110"/>
      <c r="AA137" s="1110"/>
      <c r="AB137" s="1110"/>
    </row>
    <row r="138" spans="1:28" ht="13.5" hidden="1" thickBot="1" x14ac:dyDescent="0.25">
      <c r="A138" s="1158"/>
      <c r="B138" s="1393"/>
      <c r="C138" s="1477"/>
      <c r="D138" s="1212"/>
      <c r="E138" s="1212"/>
      <c r="F138" s="1477">
        <v>1</v>
      </c>
      <c r="G138" s="1502"/>
      <c r="H138" s="1479"/>
      <c r="I138" s="1481"/>
      <c r="J138" s="1483">
        <v>1</v>
      </c>
      <c r="K138" s="1485" t="s">
        <v>1295</v>
      </c>
      <c r="L138" s="1427"/>
      <c r="M138" s="1427"/>
      <c r="N138" s="1427"/>
      <c r="O138" s="1428"/>
      <c r="P138" s="1483">
        <f>1-O138-O140</f>
        <v>1</v>
      </c>
      <c r="Q138" s="1474"/>
      <c r="R138" s="1497"/>
      <c r="S138" s="1483">
        <v>1</v>
      </c>
      <c r="T138" s="1483">
        <f>J138*P138*S138</f>
        <v>1</v>
      </c>
      <c r="U138" s="1191"/>
      <c r="V138" s="1192"/>
      <c r="W138" s="1193"/>
      <c r="X138" s="1181"/>
      <c r="Y138" s="1110"/>
      <c r="Z138" s="1110"/>
      <c r="AA138" s="1110"/>
      <c r="AB138" s="1110"/>
    </row>
    <row r="139" spans="1:28" ht="13.5" hidden="1" thickBot="1" x14ac:dyDescent="0.25">
      <c r="A139" s="1158"/>
      <c r="B139" s="1393"/>
      <c r="C139" s="1458"/>
      <c r="D139" s="1213"/>
      <c r="E139" s="1213"/>
      <c r="F139" s="1458"/>
      <c r="G139" s="1503"/>
      <c r="H139" s="1462"/>
      <c r="I139" s="1465"/>
      <c r="J139" s="1467"/>
      <c r="K139" s="1469"/>
      <c r="L139" s="1424"/>
      <c r="M139" s="1424"/>
      <c r="N139" s="1424"/>
      <c r="O139" s="1426"/>
      <c r="P139" s="1467"/>
      <c r="Q139" s="1475"/>
      <c r="R139" s="1487"/>
      <c r="S139" s="1467"/>
      <c r="T139" s="1467"/>
      <c r="U139" s="1182"/>
      <c r="V139" s="1183"/>
      <c r="W139" s="1184"/>
      <c r="X139" s="1185"/>
      <c r="Y139" s="1110"/>
      <c r="Z139" s="1110"/>
      <c r="AA139" s="1110"/>
      <c r="AB139" s="1110"/>
    </row>
    <row r="140" spans="1:28" ht="13.5" hidden="1" thickBot="1" x14ac:dyDescent="0.25">
      <c r="A140" s="1158"/>
      <c r="B140" s="1393"/>
      <c r="C140" s="1458"/>
      <c r="D140" s="1213"/>
      <c r="E140" s="1213"/>
      <c r="F140" s="1458"/>
      <c r="G140" s="1503"/>
      <c r="H140" s="1462"/>
      <c r="I140" s="1465"/>
      <c r="J140" s="1467"/>
      <c r="K140" s="1489" t="s">
        <v>1296</v>
      </c>
      <c r="L140" s="1491"/>
      <c r="M140" s="1491"/>
      <c r="N140" s="1491"/>
      <c r="O140" s="1493"/>
      <c r="P140" s="1467"/>
      <c r="Q140" s="1475"/>
      <c r="R140" s="1487"/>
      <c r="S140" s="1467"/>
      <c r="T140" s="1467"/>
      <c r="U140" s="1182"/>
      <c r="V140" s="1183"/>
      <c r="W140" s="1184"/>
      <c r="X140" s="1185"/>
      <c r="Y140" s="1110"/>
      <c r="Z140" s="1110"/>
      <c r="AA140" s="1110"/>
      <c r="AB140" s="1110"/>
    </row>
    <row r="141" spans="1:28" ht="13.5" hidden="1" thickBot="1" x14ac:dyDescent="0.25">
      <c r="A141" s="1158"/>
      <c r="B141" s="1393"/>
      <c r="C141" s="1458"/>
      <c r="D141" s="1213"/>
      <c r="E141" s="1213"/>
      <c r="F141" s="1458"/>
      <c r="G141" s="1503"/>
      <c r="H141" s="1462"/>
      <c r="I141" s="1465"/>
      <c r="J141" s="1467"/>
      <c r="K141" s="1489"/>
      <c r="L141" s="1491"/>
      <c r="M141" s="1491"/>
      <c r="N141" s="1491"/>
      <c r="O141" s="1493"/>
      <c r="P141" s="1467"/>
      <c r="Q141" s="1475"/>
      <c r="R141" s="1487"/>
      <c r="S141" s="1467"/>
      <c r="T141" s="1467"/>
      <c r="U141" s="1186"/>
      <c r="V141" s="1187"/>
      <c r="W141" s="1188"/>
      <c r="X141" s="1185"/>
      <c r="Y141" s="1110"/>
      <c r="Z141" s="1110"/>
      <c r="AA141" s="1110"/>
      <c r="AB141" s="1110"/>
    </row>
    <row r="142" spans="1:28" ht="13.5" hidden="1" thickBot="1" x14ac:dyDescent="0.25">
      <c r="A142" s="1158"/>
      <c r="B142" s="1394"/>
      <c r="C142" s="1478"/>
      <c r="D142" s="1214"/>
      <c r="E142" s="1214"/>
      <c r="F142" s="1478"/>
      <c r="G142" s="1516"/>
      <c r="H142" s="1480"/>
      <c r="I142" s="1482"/>
      <c r="J142" s="1484"/>
      <c r="K142" s="1499"/>
      <c r="L142" s="1500"/>
      <c r="M142" s="1500"/>
      <c r="N142" s="1500"/>
      <c r="O142" s="1501"/>
      <c r="P142" s="1484"/>
      <c r="Q142" s="1476"/>
      <c r="R142" s="1498"/>
      <c r="S142" s="1484"/>
      <c r="T142" s="1484"/>
      <c r="U142" s="1455" t="s">
        <v>1297</v>
      </c>
      <c r="V142" s="1456"/>
      <c r="W142" s="1457"/>
      <c r="X142" s="1190">
        <v>1</v>
      </c>
      <c r="Y142" s="1110"/>
      <c r="Z142" s="1110"/>
      <c r="AA142" s="1110"/>
      <c r="AB142" s="1110"/>
    </row>
    <row r="143" spans="1:28" ht="13.5" hidden="1" thickBot="1" x14ac:dyDescent="0.25">
      <c r="A143" s="1158"/>
      <c r="B143" s="1119"/>
      <c r="C143" s="1119"/>
      <c r="D143" s="1119"/>
      <c r="E143" s="1119"/>
      <c r="F143" s="1119"/>
      <c r="G143" s="1119"/>
      <c r="H143" s="1119"/>
      <c r="I143" s="1119"/>
      <c r="J143" s="1505" t="s">
        <v>1298</v>
      </c>
      <c r="K143" s="1506"/>
      <c r="L143" s="1506"/>
      <c r="M143" s="1506"/>
      <c r="N143" s="1506"/>
      <c r="O143" s="1506"/>
      <c r="P143" s="1506"/>
      <c r="Q143" s="1506"/>
      <c r="R143" s="1506"/>
      <c r="S143" s="1507"/>
      <c r="T143" s="1215">
        <f>(T113*F113+T118*F118+T123*F123+T128*F128+T133*F133+T138*F138)/(F113+F118+F123+F128+F133+F138)</f>
        <v>1</v>
      </c>
      <c r="U143" s="1455" t="s">
        <v>1299</v>
      </c>
      <c r="V143" s="1456"/>
      <c r="W143" s="1457"/>
      <c r="X143" s="1216">
        <f>(X117*F113+X122*F118+X127*F123+X132*F128+X137*F133+X142*F138)/(F113+F118+F123+F128+F133+F138)</f>
        <v>1</v>
      </c>
      <c r="Y143" s="1110"/>
      <c r="Z143" s="1110"/>
      <c r="AA143" s="1110"/>
      <c r="AB143" s="1110"/>
    </row>
    <row r="144" spans="1:28" ht="13.5" hidden="1" thickBot="1" x14ac:dyDescent="0.25">
      <c r="A144" s="1158"/>
      <c r="B144" s="1159"/>
      <c r="C144" s="1119"/>
      <c r="D144" s="1119"/>
      <c r="E144" s="1119"/>
      <c r="F144" s="1119"/>
      <c r="G144" s="1119"/>
      <c r="H144" s="1119"/>
      <c r="I144" s="1119"/>
      <c r="J144" s="1511" t="s">
        <v>1300</v>
      </c>
      <c r="K144" s="1512"/>
      <c r="L144" s="1512"/>
      <c r="M144" s="1512"/>
      <c r="N144" s="1512"/>
      <c r="O144" s="1512"/>
      <c r="P144" s="1512"/>
      <c r="Q144" s="1512"/>
      <c r="R144" s="1512"/>
      <c r="S144" s="1513"/>
      <c r="T144" s="1514">
        <f>T143*X143</f>
        <v>1</v>
      </c>
      <c r="U144" s="1514"/>
      <c r="V144" s="1514"/>
      <c r="W144" s="1514"/>
      <c r="X144" s="1515"/>
      <c r="Y144" s="1110"/>
      <c r="Z144" s="1110"/>
      <c r="AA144" s="1110"/>
      <c r="AB144" s="1110"/>
    </row>
    <row r="145" spans="1:28" ht="13.5" hidden="1" thickBot="1" x14ac:dyDescent="0.25">
      <c r="A145" s="1158"/>
      <c r="B145" s="1158"/>
      <c r="C145" s="1158"/>
      <c r="D145" s="1158"/>
      <c r="E145" s="1158"/>
      <c r="F145" s="1158"/>
      <c r="G145" s="1158"/>
      <c r="H145" s="1158"/>
      <c r="I145" s="1158"/>
      <c r="J145" s="1158"/>
      <c r="K145" s="1158"/>
      <c r="L145" s="1158"/>
      <c r="M145" s="1158"/>
      <c r="N145" s="1158"/>
      <c r="O145" s="1158"/>
      <c r="P145" s="1158"/>
      <c r="Q145" s="1158"/>
      <c r="R145" s="1158"/>
      <c r="S145" s="1110"/>
      <c r="T145" s="1110"/>
      <c r="U145" s="1110"/>
      <c r="V145" s="1110"/>
      <c r="W145" s="1110"/>
      <c r="X145" s="1161"/>
      <c r="Y145" s="1110"/>
      <c r="Z145" s="1110"/>
      <c r="AA145" s="1110"/>
      <c r="AB145" s="1110"/>
    </row>
    <row r="146" spans="1:28" ht="13.5" hidden="1" thickBot="1" x14ac:dyDescent="0.25">
      <c r="A146" s="1158"/>
      <c r="B146" s="1158"/>
      <c r="C146" s="1158"/>
      <c r="D146" s="1158"/>
      <c r="E146" s="1158"/>
      <c r="F146" s="1158"/>
      <c r="G146" s="1158"/>
      <c r="H146" s="1158"/>
      <c r="I146" s="1158"/>
      <c r="J146" s="1158"/>
      <c r="K146" s="1158"/>
      <c r="L146" s="1158"/>
      <c r="M146" s="1158"/>
      <c r="N146" s="1158"/>
      <c r="O146" s="1158"/>
      <c r="P146" s="1158"/>
      <c r="Q146" s="1158"/>
      <c r="R146" s="1158"/>
      <c r="S146" s="1110"/>
      <c r="T146" s="1110"/>
      <c r="U146" s="1110"/>
      <c r="V146" s="1110"/>
      <c r="W146" s="1110"/>
      <c r="X146" s="1161"/>
      <c r="Y146" s="1110"/>
      <c r="Z146" s="1110"/>
      <c r="AA146" s="1110"/>
      <c r="AB146" s="1110"/>
    </row>
    <row r="147" spans="1:28" ht="13.5" thickBot="1" x14ac:dyDescent="0.25">
      <c r="A147" s="1158"/>
      <c r="B147" s="1158"/>
      <c r="C147" s="1158"/>
      <c r="D147" s="1158"/>
      <c r="E147" s="1158"/>
      <c r="F147" s="1158"/>
      <c r="G147" s="1429" t="s">
        <v>1282</v>
      </c>
      <c r="H147" s="1430"/>
      <c r="I147" s="1430"/>
      <c r="J147" s="1430"/>
      <c r="K147" s="1431"/>
      <c r="L147" s="1431"/>
      <c r="M147" s="1431"/>
      <c r="N147" s="1431"/>
      <c r="O147" s="1431"/>
      <c r="P147" s="1431"/>
      <c r="Q147" s="1430"/>
      <c r="R147" s="1430"/>
      <c r="S147" s="1430"/>
      <c r="T147" s="1432"/>
      <c r="U147" s="1433" t="s">
        <v>1283</v>
      </c>
      <c r="V147" s="1434"/>
      <c r="W147" s="1434"/>
      <c r="X147" s="1435"/>
      <c r="Y147" s="1110"/>
      <c r="Z147" s="1110"/>
      <c r="AA147" s="1110"/>
      <c r="AB147" s="1110"/>
    </row>
    <row r="148" spans="1:28" ht="13.5" thickBot="1" x14ac:dyDescent="0.25">
      <c r="A148" s="1158"/>
      <c r="B148" s="1200" t="s">
        <v>793</v>
      </c>
      <c r="C148" s="1201" t="s">
        <v>1284</v>
      </c>
      <c r="D148" s="1164" t="s">
        <v>1285</v>
      </c>
      <c r="E148" s="1165" t="s">
        <v>1286</v>
      </c>
      <c r="F148" s="1203" t="s">
        <v>1287</v>
      </c>
      <c r="G148" s="1204" t="s">
        <v>1161</v>
      </c>
      <c r="H148" s="1205" t="s">
        <v>339</v>
      </c>
      <c r="I148" s="1206" t="s">
        <v>1164</v>
      </c>
      <c r="J148" s="1169" t="s">
        <v>1288</v>
      </c>
      <c r="K148" s="1170" t="s">
        <v>1289</v>
      </c>
      <c r="L148" s="1171" t="s">
        <v>1176</v>
      </c>
      <c r="M148" s="1171" t="s">
        <v>1178</v>
      </c>
      <c r="N148" s="1171" t="s">
        <v>303</v>
      </c>
      <c r="O148" s="1172" t="s">
        <v>565</v>
      </c>
      <c r="P148" s="1169" t="s">
        <v>1290</v>
      </c>
      <c r="Q148" s="1173" t="s">
        <v>1231</v>
      </c>
      <c r="R148" s="1174" t="s">
        <v>1291</v>
      </c>
      <c r="S148" s="1207" t="s">
        <v>1292</v>
      </c>
      <c r="T148" s="1208" t="s">
        <v>1293</v>
      </c>
      <c r="U148" s="1209" t="s">
        <v>336</v>
      </c>
      <c r="V148" s="1210" t="s">
        <v>337</v>
      </c>
      <c r="W148" s="1211" t="s">
        <v>1294</v>
      </c>
      <c r="X148" s="1177" t="s">
        <v>1158</v>
      </c>
      <c r="Y148" s="1110"/>
      <c r="Z148" s="1110"/>
      <c r="AA148" s="1110"/>
      <c r="AB148" s="1110"/>
    </row>
    <row r="149" spans="1:28" x14ac:dyDescent="0.2">
      <c r="A149" s="1158"/>
      <c r="B149" s="1392" t="s">
        <v>301</v>
      </c>
      <c r="C149" s="1477"/>
      <c r="D149" s="1459"/>
      <c r="E149" s="1460"/>
      <c r="F149" s="1477">
        <f>D149*E149</f>
        <v>0</v>
      </c>
      <c r="G149" s="1397">
        <f>E149</f>
        <v>0</v>
      </c>
      <c r="H149" s="1479"/>
      <c r="I149" s="1481"/>
      <c r="J149" s="1483">
        <v>1</v>
      </c>
      <c r="K149" s="1485" t="s">
        <v>1295</v>
      </c>
      <c r="L149" s="1427"/>
      <c r="M149" s="1427"/>
      <c r="N149" s="1427"/>
      <c r="O149" s="1428"/>
      <c r="P149" s="1483">
        <f>1-O149-O151</f>
        <v>1</v>
      </c>
      <c r="Q149" s="1474"/>
      <c r="R149" s="1497"/>
      <c r="S149" s="1483">
        <v>1</v>
      </c>
      <c r="T149" s="1483">
        <f>J149*P149*S149</f>
        <v>1</v>
      </c>
      <c r="U149" s="1191"/>
      <c r="V149" s="1192"/>
      <c r="W149" s="1193"/>
      <c r="X149" s="1181"/>
      <c r="Y149" s="1137"/>
      <c r="Z149" s="1137"/>
      <c r="AA149" s="1110"/>
      <c r="AB149" s="1110"/>
    </row>
    <row r="150" spans="1:28" x14ac:dyDescent="0.2">
      <c r="A150" s="1158"/>
      <c r="B150" s="1393"/>
      <c r="C150" s="1458"/>
      <c r="D150" s="1398"/>
      <c r="E150" s="1401"/>
      <c r="F150" s="1458"/>
      <c r="G150" s="1398"/>
      <c r="H150" s="1462"/>
      <c r="I150" s="1465"/>
      <c r="J150" s="1467"/>
      <c r="K150" s="1469"/>
      <c r="L150" s="1424"/>
      <c r="M150" s="1424"/>
      <c r="N150" s="1424"/>
      <c r="O150" s="1426"/>
      <c r="P150" s="1467"/>
      <c r="Q150" s="1475"/>
      <c r="R150" s="1487"/>
      <c r="S150" s="1467"/>
      <c r="T150" s="1467"/>
      <c r="U150" s="1182"/>
      <c r="V150" s="1183"/>
      <c r="W150" s="1184"/>
      <c r="X150" s="1185"/>
      <c r="Y150" s="1137"/>
      <c r="Z150" s="1137"/>
      <c r="AA150" s="1110"/>
      <c r="AB150" s="1110"/>
    </row>
    <row r="151" spans="1:28" x14ac:dyDescent="0.2">
      <c r="A151" s="1158"/>
      <c r="B151" s="1393"/>
      <c r="C151" s="1458"/>
      <c r="D151" s="1398"/>
      <c r="E151" s="1401"/>
      <c r="F151" s="1458"/>
      <c r="G151" s="1398"/>
      <c r="H151" s="1462"/>
      <c r="I151" s="1465"/>
      <c r="J151" s="1467"/>
      <c r="K151" s="1489" t="s">
        <v>1296</v>
      </c>
      <c r="L151" s="1491"/>
      <c r="M151" s="1491"/>
      <c r="N151" s="1491"/>
      <c r="O151" s="1493"/>
      <c r="P151" s="1467"/>
      <c r="Q151" s="1475"/>
      <c r="R151" s="1487"/>
      <c r="S151" s="1467"/>
      <c r="T151" s="1467"/>
      <c r="U151" s="1182"/>
      <c r="V151" s="1183"/>
      <c r="W151" s="1184"/>
      <c r="X151" s="1185"/>
      <c r="Y151" s="1110"/>
      <c r="Z151" s="1110"/>
      <c r="AA151" s="1110"/>
      <c r="AB151" s="1110"/>
    </row>
    <row r="152" spans="1:28" ht="13.5" thickBot="1" x14ac:dyDescent="0.25">
      <c r="A152" s="1158"/>
      <c r="B152" s="1393"/>
      <c r="C152" s="1458"/>
      <c r="D152" s="1398"/>
      <c r="E152" s="1401"/>
      <c r="F152" s="1458"/>
      <c r="G152" s="1398"/>
      <c r="H152" s="1462"/>
      <c r="I152" s="1465"/>
      <c r="J152" s="1467"/>
      <c r="K152" s="1489"/>
      <c r="L152" s="1491"/>
      <c r="M152" s="1491"/>
      <c r="N152" s="1491"/>
      <c r="O152" s="1493"/>
      <c r="P152" s="1467"/>
      <c r="Q152" s="1475"/>
      <c r="R152" s="1487"/>
      <c r="S152" s="1467"/>
      <c r="T152" s="1467"/>
      <c r="U152" s="1186"/>
      <c r="V152" s="1187"/>
      <c r="W152" s="1188"/>
      <c r="X152" s="1185"/>
      <c r="Y152" s="1110"/>
      <c r="Z152" s="1110"/>
      <c r="AA152" s="1110"/>
      <c r="AB152" s="1110"/>
    </row>
    <row r="153" spans="1:28" ht="13.5" thickBot="1" x14ac:dyDescent="0.25">
      <c r="A153" s="1158"/>
      <c r="B153" s="1393"/>
      <c r="C153" s="1478"/>
      <c r="D153" s="1399"/>
      <c r="E153" s="1402"/>
      <c r="F153" s="1478"/>
      <c r="G153" s="1399"/>
      <c r="H153" s="1463"/>
      <c r="I153" s="1466"/>
      <c r="J153" s="1484"/>
      <c r="K153" s="1490"/>
      <c r="L153" s="1492"/>
      <c r="M153" s="1492"/>
      <c r="N153" s="1492"/>
      <c r="O153" s="1494"/>
      <c r="P153" s="1484"/>
      <c r="Q153" s="1496"/>
      <c r="R153" s="1488"/>
      <c r="S153" s="1467"/>
      <c r="T153" s="1484"/>
      <c r="U153" s="1455" t="s">
        <v>1297</v>
      </c>
      <c r="V153" s="1456"/>
      <c r="W153" s="1457"/>
      <c r="X153" s="1190">
        <v>1</v>
      </c>
      <c r="Y153" s="1110"/>
      <c r="Z153" s="1110"/>
      <c r="AA153" s="1110"/>
      <c r="AB153" s="1110"/>
    </row>
    <row r="154" spans="1:28" x14ac:dyDescent="0.2">
      <c r="A154" s="1158"/>
      <c r="B154" s="1393"/>
      <c r="C154" s="1477"/>
      <c r="D154" s="1397"/>
      <c r="E154" s="1400"/>
      <c r="F154" s="1477">
        <f t="shared" ref="F154" si="10">D154*E154</f>
        <v>0</v>
      </c>
      <c r="G154" s="1397">
        <f>E154</f>
        <v>0</v>
      </c>
      <c r="H154" s="1479"/>
      <c r="I154" s="1481"/>
      <c r="J154" s="1483">
        <v>1</v>
      </c>
      <c r="K154" s="1485" t="s">
        <v>1295</v>
      </c>
      <c r="L154" s="1427"/>
      <c r="M154" s="1427"/>
      <c r="N154" s="1427"/>
      <c r="O154" s="1428"/>
      <c r="P154" s="1483">
        <f>1-O154-O156</f>
        <v>1</v>
      </c>
      <c r="Q154" s="1474"/>
      <c r="R154" s="1497"/>
      <c r="S154" s="1483">
        <v>1</v>
      </c>
      <c r="T154" s="1483">
        <f>J154*P154*S154</f>
        <v>1</v>
      </c>
      <c r="U154" s="1191"/>
      <c r="V154" s="1192"/>
      <c r="W154" s="1193"/>
      <c r="X154" s="1181"/>
      <c r="Y154" s="1110"/>
      <c r="Z154" s="1110"/>
      <c r="AA154" s="1110"/>
      <c r="AB154" s="1110"/>
    </row>
    <row r="155" spans="1:28" x14ac:dyDescent="0.2">
      <c r="A155" s="1158"/>
      <c r="B155" s="1393"/>
      <c r="C155" s="1458"/>
      <c r="D155" s="1398"/>
      <c r="E155" s="1401"/>
      <c r="F155" s="1458"/>
      <c r="G155" s="1398"/>
      <c r="H155" s="1462"/>
      <c r="I155" s="1465"/>
      <c r="J155" s="1467"/>
      <c r="K155" s="1469"/>
      <c r="L155" s="1424"/>
      <c r="M155" s="1424"/>
      <c r="N155" s="1424"/>
      <c r="O155" s="1426"/>
      <c r="P155" s="1467"/>
      <c r="Q155" s="1475"/>
      <c r="R155" s="1487"/>
      <c r="S155" s="1467"/>
      <c r="T155" s="1467"/>
      <c r="U155" s="1182"/>
      <c r="V155" s="1183"/>
      <c r="W155" s="1184"/>
      <c r="X155" s="1185"/>
      <c r="Y155" s="1110"/>
      <c r="Z155" s="1110"/>
      <c r="AA155" s="1110"/>
      <c r="AB155" s="1110"/>
    </row>
    <row r="156" spans="1:28" x14ac:dyDescent="0.2">
      <c r="A156" s="1158"/>
      <c r="B156" s="1393"/>
      <c r="C156" s="1458"/>
      <c r="D156" s="1398"/>
      <c r="E156" s="1401"/>
      <c r="F156" s="1458"/>
      <c r="G156" s="1398"/>
      <c r="H156" s="1462"/>
      <c r="I156" s="1465"/>
      <c r="J156" s="1467"/>
      <c r="K156" s="1489" t="s">
        <v>1296</v>
      </c>
      <c r="L156" s="1491"/>
      <c r="M156" s="1491"/>
      <c r="N156" s="1491"/>
      <c r="O156" s="1493"/>
      <c r="P156" s="1467"/>
      <c r="Q156" s="1475"/>
      <c r="R156" s="1487"/>
      <c r="S156" s="1467"/>
      <c r="T156" s="1467"/>
      <c r="U156" s="1182"/>
      <c r="V156" s="1183"/>
      <c r="W156" s="1184"/>
      <c r="X156" s="1185"/>
      <c r="Y156" s="1110"/>
      <c r="Z156" s="1110"/>
      <c r="AA156" s="1110"/>
      <c r="AB156" s="1110"/>
    </row>
    <row r="157" spans="1:28" ht="13.5" thickBot="1" x14ac:dyDescent="0.25">
      <c r="A157" s="1158"/>
      <c r="B157" s="1393"/>
      <c r="C157" s="1458"/>
      <c r="D157" s="1398"/>
      <c r="E157" s="1401"/>
      <c r="F157" s="1458"/>
      <c r="G157" s="1398"/>
      <c r="H157" s="1462"/>
      <c r="I157" s="1465"/>
      <c r="J157" s="1467"/>
      <c r="K157" s="1489"/>
      <c r="L157" s="1491"/>
      <c r="M157" s="1491"/>
      <c r="N157" s="1491"/>
      <c r="O157" s="1493"/>
      <c r="P157" s="1467"/>
      <c r="Q157" s="1475"/>
      <c r="R157" s="1487"/>
      <c r="S157" s="1467"/>
      <c r="T157" s="1467"/>
      <c r="U157" s="1186"/>
      <c r="V157" s="1187"/>
      <c r="W157" s="1188"/>
      <c r="X157" s="1185"/>
      <c r="Y157" s="1110"/>
      <c r="Z157" s="1110"/>
      <c r="AA157" s="1110"/>
      <c r="AB157" s="1110"/>
    </row>
    <row r="158" spans="1:28" ht="13.5" thickBot="1" x14ac:dyDescent="0.25">
      <c r="A158" s="1158"/>
      <c r="B158" s="1393"/>
      <c r="C158" s="1478"/>
      <c r="D158" s="1444"/>
      <c r="E158" s="1445"/>
      <c r="F158" s="1478"/>
      <c r="G158" s="1399"/>
      <c r="H158" s="1480"/>
      <c r="I158" s="1482"/>
      <c r="J158" s="1484"/>
      <c r="K158" s="1499"/>
      <c r="L158" s="1500"/>
      <c r="M158" s="1500"/>
      <c r="N158" s="1500"/>
      <c r="O158" s="1501"/>
      <c r="P158" s="1484"/>
      <c r="Q158" s="1476"/>
      <c r="R158" s="1498"/>
      <c r="S158" s="1484"/>
      <c r="T158" s="1484"/>
      <c r="U158" s="1455" t="s">
        <v>1297</v>
      </c>
      <c r="V158" s="1456"/>
      <c r="W158" s="1457"/>
      <c r="X158" s="1190">
        <v>1</v>
      </c>
      <c r="Y158" s="1110"/>
      <c r="Z158" s="1110"/>
      <c r="AA158" s="1110"/>
      <c r="AB158" s="1110"/>
    </row>
    <row r="159" spans="1:28" x14ac:dyDescent="0.2">
      <c r="A159" s="1158"/>
      <c r="B159" s="1393"/>
      <c r="C159" s="1477"/>
      <c r="D159" s="1459"/>
      <c r="E159" s="1460"/>
      <c r="F159" s="1477">
        <f t="shared" ref="F159" si="11">D159*E159</f>
        <v>0</v>
      </c>
      <c r="G159" s="1397">
        <f>E159</f>
        <v>0</v>
      </c>
      <c r="H159" s="1461"/>
      <c r="I159" s="1464"/>
      <c r="J159" s="1467">
        <v>1</v>
      </c>
      <c r="K159" s="1468" t="s">
        <v>1295</v>
      </c>
      <c r="L159" s="1423"/>
      <c r="M159" s="1423"/>
      <c r="N159" s="1423"/>
      <c r="O159" s="1425"/>
      <c r="P159" s="1467">
        <f>1-O159-O161</f>
        <v>1</v>
      </c>
      <c r="Q159" s="1495"/>
      <c r="R159" s="1486"/>
      <c r="S159" s="1467">
        <v>1</v>
      </c>
      <c r="T159" s="1467">
        <f>J159*P159*S159</f>
        <v>1</v>
      </c>
      <c r="U159" s="1191"/>
      <c r="V159" s="1192"/>
      <c r="W159" s="1193"/>
      <c r="X159" s="1181"/>
      <c r="Y159" s="1110"/>
      <c r="Z159" s="1110"/>
      <c r="AA159" s="1110"/>
      <c r="AB159" s="1110"/>
    </row>
    <row r="160" spans="1:28" x14ac:dyDescent="0.2">
      <c r="A160" s="1158"/>
      <c r="B160" s="1393"/>
      <c r="C160" s="1458"/>
      <c r="D160" s="1398"/>
      <c r="E160" s="1401"/>
      <c r="F160" s="1458"/>
      <c r="G160" s="1398"/>
      <c r="H160" s="1462"/>
      <c r="I160" s="1465"/>
      <c r="J160" s="1467"/>
      <c r="K160" s="1469"/>
      <c r="L160" s="1424"/>
      <c r="M160" s="1424"/>
      <c r="N160" s="1424"/>
      <c r="O160" s="1426"/>
      <c r="P160" s="1467"/>
      <c r="Q160" s="1475"/>
      <c r="R160" s="1487"/>
      <c r="S160" s="1467"/>
      <c r="T160" s="1467"/>
      <c r="U160" s="1182"/>
      <c r="V160" s="1183"/>
      <c r="W160" s="1184"/>
      <c r="X160" s="1185"/>
      <c r="Y160" s="1110"/>
      <c r="Z160" s="1110"/>
      <c r="AA160" s="1110"/>
      <c r="AB160" s="1110"/>
    </row>
    <row r="161" spans="1:28" x14ac:dyDescent="0.2">
      <c r="A161" s="1158"/>
      <c r="B161" s="1393"/>
      <c r="C161" s="1458"/>
      <c r="D161" s="1398"/>
      <c r="E161" s="1401"/>
      <c r="F161" s="1458"/>
      <c r="G161" s="1398"/>
      <c r="H161" s="1462"/>
      <c r="I161" s="1465"/>
      <c r="J161" s="1467"/>
      <c r="K161" s="1489" t="s">
        <v>1296</v>
      </c>
      <c r="L161" s="1491"/>
      <c r="M161" s="1491"/>
      <c r="N161" s="1491"/>
      <c r="O161" s="1493"/>
      <c r="P161" s="1467"/>
      <c r="Q161" s="1475"/>
      <c r="R161" s="1487"/>
      <c r="S161" s="1467"/>
      <c r="T161" s="1467"/>
      <c r="U161" s="1182"/>
      <c r="V161" s="1183"/>
      <c r="W161" s="1184"/>
      <c r="X161" s="1185"/>
      <c r="Y161" s="1110"/>
      <c r="Z161" s="1110"/>
      <c r="AA161" s="1110"/>
      <c r="AB161" s="1110"/>
    </row>
    <row r="162" spans="1:28" ht="13.5" thickBot="1" x14ac:dyDescent="0.25">
      <c r="A162" s="1158"/>
      <c r="B162" s="1393"/>
      <c r="C162" s="1458"/>
      <c r="D162" s="1398"/>
      <c r="E162" s="1401"/>
      <c r="F162" s="1458"/>
      <c r="G162" s="1398"/>
      <c r="H162" s="1462"/>
      <c r="I162" s="1465"/>
      <c r="J162" s="1467"/>
      <c r="K162" s="1489"/>
      <c r="L162" s="1491"/>
      <c r="M162" s="1491"/>
      <c r="N162" s="1491"/>
      <c r="O162" s="1493"/>
      <c r="P162" s="1467"/>
      <c r="Q162" s="1475"/>
      <c r="R162" s="1487"/>
      <c r="S162" s="1467"/>
      <c r="T162" s="1467"/>
      <c r="U162" s="1186"/>
      <c r="V162" s="1187"/>
      <c r="W162" s="1188"/>
      <c r="X162" s="1185"/>
      <c r="Y162" s="1110"/>
      <c r="Z162" s="1110"/>
      <c r="AA162" s="1110"/>
      <c r="AB162" s="1110"/>
    </row>
    <row r="163" spans="1:28" ht="13.5" thickBot="1" x14ac:dyDescent="0.25">
      <c r="A163" s="1158"/>
      <c r="B163" s="1393"/>
      <c r="C163" s="1478"/>
      <c r="D163" s="1399"/>
      <c r="E163" s="1402"/>
      <c r="F163" s="1478"/>
      <c r="G163" s="1399"/>
      <c r="H163" s="1463"/>
      <c r="I163" s="1466"/>
      <c r="J163" s="1467"/>
      <c r="K163" s="1490"/>
      <c r="L163" s="1492"/>
      <c r="M163" s="1492"/>
      <c r="N163" s="1492"/>
      <c r="O163" s="1494"/>
      <c r="P163" s="1467"/>
      <c r="Q163" s="1496"/>
      <c r="R163" s="1488"/>
      <c r="S163" s="1467"/>
      <c r="T163" s="1467"/>
      <c r="U163" s="1455" t="s">
        <v>1297</v>
      </c>
      <c r="V163" s="1456"/>
      <c r="W163" s="1457"/>
      <c r="X163" s="1190">
        <v>1</v>
      </c>
      <c r="Y163" s="1110"/>
      <c r="Z163" s="1110"/>
      <c r="AA163" s="1110"/>
      <c r="AB163" s="1110"/>
    </row>
    <row r="164" spans="1:28" x14ac:dyDescent="0.2">
      <c r="A164" s="1158"/>
      <c r="B164" s="1393"/>
      <c r="C164" s="1477"/>
      <c r="D164" s="1397"/>
      <c r="E164" s="1400"/>
      <c r="F164" s="1477">
        <f t="shared" ref="F164" si="12">D164*E164</f>
        <v>0</v>
      </c>
      <c r="G164" s="1397">
        <f>E164</f>
        <v>0</v>
      </c>
      <c r="H164" s="1479"/>
      <c r="I164" s="1481"/>
      <c r="J164" s="1483">
        <v>1</v>
      </c>
      <c r="K164" s="1485" t="s">
        <v>1295</v>
      </c>
      <c r="L164" s="1427"/>
      <c r="M164" s="1427"/>
      <c r="N164" s="1427"/>
      <c r="O164" s="1428"/>
      <c r="P164" s="1483">
        <f>1-O164-O166</f>
        <v>1</v>
      </c>
      <c r="Q164" s="1474"/>
      <c r="R164" s="1497"/>
      <c r="S164" s="1483">
        <v>1</v>
      </c>
      <c r="T164" s="1483">
        <f>J164*P164*S164</f>
        <v>1</v>
      </c>
      <c r="U164" s="1191"/>
      <c r="V164" s="1192"/>
      <c r="W164" s="1193"/>
      <c r="X164" s="1181"/>
      <c r="Y164" s="1110"/>
      <c r="Z164" s="1110"/>
      <c r="AA164" s="1110"/>
      <c r="AB164" s="1110"/>
    </row>
    <row r="165" spans="1:28" x14ac:dyDescent="0.2">
      <c r="A165" s="1158"/>
      <c r="B165" s="1393"/>
      <c r="C165" s="1458"/>
      <c r="D165" s="1398"/>
      <c r="E165" s="1401"/>
      <c r="F165" s="1458"/>
      <c r="G165" s="1398"/>
      <c r="H165" s="1462"/>
      <c r="I165" s="1465"/>
      <c r="J165" s="1467"/>
      <c r="K165" s="1469"/>
      <c r="L165" s="1424"/>
      <c r="M165" s="1424"/>
      <c r="N165" s="1424"/>
      <c r="O165" s="1426"/>
      <c r="P165" s="1467"/>
      <c r="Q165" s="1475"/>
      <c r="R165" s="1487"/>
      <c r="S165" s="1467"/>
      <c r="T165" s="1467"/>
      <c r="U165" s="1182"/>
      <c r="V165" s="1183"/>
      <c r="W165" s="1184"/>
      <c r="X165" s="1185"/>
      <c r="Y165" s="1110"/>
      <c r="Z165" s="1110"/>
      <c r="AA165" s="1110"/>
      <c r="AB165" s="1110"/>
    </row>
    <row r="166" spans="1:28" x14ac:dyDescent="0.2">
      <c r="A166" s="1158"/>
      <c r="B166" s="1393"/>
      <c r="C166" s="1458"/>
      <c r="D166" s="1398"/>
      <c r="E166" s="1401"/>
      <c r="F166" s="1458"/>
      <c r="G166" s="1398"/>
      <c r="H166" s="1462"/>
      <c r="I166" s="1465"/>
      <c r="J166" s="1467"/>
      <c r="K166" s="1489" t="s">
        <v>1296</v>
      </c>
      <c r="L166" s="1491"/>
      <c r="M166" s="1491"/>
      <c r="N166" s="1491"/>
      <c r="O166" s="1493"/>
      <c r="P166" s="1467"/>
      <c r="Q166" s="1475"/>
      <c r="R166" s="1487"/>
      <c r="S166" s="1467"/>
      <c r="T166" s="1467"/>
      <c r="U166" s="1182"/>
      <c r="V166" s="1183"/>
      <c r="W166" s="1184"/>
      <c r="X166" s="1185"/>
      <c r="Y166" s="1110"/>
      <c r="Z166" s="1110"/>
      <c r="AA166" s="1110"/>
      <c r="AB166" s="1110"/>
    </row>
    <row r="167" spans="1:28" ht="13.5" thickBot="1" x14ac:dyDescent="0.25">
      <c r="A167" s="1158"/>
      <c r="B167" s="1393"/>
      <c r="C167" s="1458"/>
      <c r="D167" s="1398"/>
      <c r="E167" s="1401"/>
      <c r="F167" s="1458"/>
      <c r="G167" s="1398"/>
      <c r="H167" s="1462"/>
      <c r="I167" s="1465"/>
      <c r="J167" s="1467"/>
      <c r="K167" s="1489"/>
      <c r="L167" s="1491"/>
      <c r="M167" s="1491"/>
      <c r="N167" s="1491"/>
      <c r="O167" s="1493"/>
      <c r="P167" s="1467"/>
      <c r="Q167" s="1475"/>
      <c r="R167" s="1487"/>
      <c r="S167" s="1467"/>
      <c r="T167" s="1467"/>
      <c r="U167" s="1186"/>
      <c r="V167" s="1187"/>
      <c r="W167" s="1188"/>
      <c r="X167" s="1185"/>
      <c r="Y167" s="1110"/>
      <c r="Z167" s="1110"/>
      <c r="AA167" s="1110"/>
      <c r="AB167" s="1110"/>
    </row>
    <row r="168" spans="1:28" ht="13.5" thickBot="1" x14ac:dyDescent="0.25">
      <c r="A168" s="1158"/>
      <c r="B168" s="1393"/>
      <c r="C168" s="1478"/>
      <c r="D168" s="1444"/>
      <c r="E168" s="1445"/>
      <c r="F168" s="1478"/>
      <c r="G168" s="1399"/>
      <c r="H168" s="1480"/>
      <c r="I168" s="1482"/>
      <c r="J168" s="1484"/>
      <c r="K168" s="1499"/>
      <c r="L168" s="1500"/>
      <c r="M168" s="1500"/>
      <c r="N168" s="1500"/>
      <c r="O168" s="1501"/>
      <c r="P168" s="1484"/>
      <c r="Q168" s="1476"/>
      <c r="R168" s="1498"/>
      <c r="S168" s="1484"/>
      <c r="T168" s="1484"/>
      <c r="U168" s="1455" t="s">
        <v>1297</v>
      </c>
      <c r="V168" s="1456"/>
      <c r="W168" s="1457"/>
      <c r="X168" s="1190">
        <v>1</v>
      </c>
      <c r="Y168" s="1110"/>
      <c r="Z168" s="1110"/>
      <c r="AA168" s="1110"/>
      <c r="AB168" s="1110"/>
    </row>
    <row r="169" spans="1:28" x14ac:dyDescent="0.2">
      <c r="A169" s="1158"/>
      <c r="B169" s="1393"/>
      <c r="C169" s="1477"/>
      <c r="D169" s="1397"/>
      <c r="E169" s="1400"/>
      <c r="F169" s="1477">
        <f t="shared" ref="F169" si="13">D169*E169</f>
        <v>0</v>
      </c>
      <c r="G169" s="1397">
        <f>E169</f>
        <v>0</v>
      </c>
      <c r="H169" s="1461"/>
      <c r="I169" s="1464"/>
      <c r="J169" s="1467">
        <v>1</v>
      </c>
      <c r="K169" s="1468" t="s">
        <v>1295</v>
      </c>
      <c r="L169" s="1423"/>
      <c r="M169" s="1423"/>
      <c r="N169" s="1423"/>
      <c r="O169" s="1425"/>
      <c r="P169" s="1467">
        <f>1-O169-O171</f>
        <v>1</v>
      </c>
      <c r="Q169" s="1495"/>
      <c r="R169" s="1486"/>
      <c r="S169" s="1467">
        <v>1</v>
      </c>
      <c r="T169" s="1467">
        <f>J169*P169*S169</f>
        <v>1</v>
      </c>
      <c r="U169" s="1191"/>
      <c r="V169" s="1192"/>
      <c r="W169" s="1193"/>
      <c r="X169" s="1181"/>
      <c r="Y169" s="1110"/>
      <c r="Z169" s="1110"/>
      <c r="AA169" s="1110"/>
      <c r="AB169" s="1110"/>
    </row>
    <row r="170" spans="1:28" x14ac:dyDescent="0.2">
      <c r="A170" s="1158"/>
      <c r="B170" s="1393"/>
      <c r="C170" s="1458"/>
      <c r="D170" s="1398"/>
      <c r="E170" s="1401"/>
      <c r="F170" s="1458"/>
      <c r="G170" s="1398"/>
      <c r="H170" s="1462"/>
      <c r="I170" s="1465"/>
      <c r="J170" s="1467"/>
      <c r="K170" s="1469"/>
      <c r="L170" s="1424"/>
      <c r="M170" s="1424"/>
      <c r="N170" s="1424"/>
      <c r="O170" s="1426"/>
      <c r="P170" s="1467"/>
      <c r="Q170" s="1475"/>
      <c r="R170" s="1487"/>
      <c r="S170" s="1467"/>
      <c r="T170" s="1467"/>
      <c r="U170" s="1182"/>
      <c r="V170" s="1183"/>
      <c r="W170" s="1184"/>
      <c r="X170" s="1185"/>
      <c r="Y170" s="1110"/>
      <c r="Z170" s="1110"/>
      <c r="AA170" s="1110"/>
      <c r="AB170" s="1110"/>
    </row>
    <row r="171" spans="1:28" x14ac:dyDescent="0.2">
      <c r="A171" s="1158"/>
      <c r="B171" s="1393"/>
      <c r="C171" s="1458"/>
      <c r="D171" s="1398"/>
      <c r="E171" s="1401"/>
      <c r="F171" s="1458"/>
      <c r="G171" s="1398"/>
      <c r="H171" s="1462"/>
      <c r="I171" s="1465"/>
      <c r="J171" s="1467"/>
      <c r="K171" s="1489" t="s">
        <v>1296</v>
      </c>
      <c r="L171" s="1491"/>
      <c r="M171" s="1491"/>
      <c r="N171" s="1491"/>
      <c r="O171" s="1493"/>
      <c r="P171" s="1467"/>
      <c r="Q171" s="1475"/>
      <c r="R171" s="1487"/>
      <c r="S171" s="1467"/>
      <c r="T171" s="1467"/>
      <c r="U171" s="1182"/>
      <c r="V171" s="1183"/>
      <c r="W171" s="1184"/>
      <c r="X171" s="1185"/>
      <c r="Y171" s="1110"/>
      <c r="Z171" s="1110"/>
      <c r="AA171" s="1110"/>
      <c r="AB171" s="1110"/>
    </row>
    <row r="172" spans="1:28" ht="13.5" thickBot="1" x14ac:dyDescent="0.25">
      <c r="A172" s="1158"/>
      <c r="B172" s="1393"/>
      <c r="C172" s="1458"/>
      <c r="D172" s="1398"/>
      <c r="E172" s="1401"/>
      <c r="F172" s="1458"/>
      <c r="G172" s="1398"/>
      <c r="H172" s="1462"/>
      <c r="I172" s="1465"/>
      <c r="J172" s="1467"/>
      <c r="K172" s="1489"/>
      <c r="L172" s="1491"/>
      <c r="M172" s="1491"/>
      <c r="N172" s="1491"/>
      <c r="O172" s="1493"/>
      <c r="P172" s="1467"/>
      <c r="Q172" s="1475"/>
      <c r="R172" s="1487"/>
      <c r="S172" s="1467"/>
      <c r="T172" s="1467"/>
      <c r="U172" s="1186"/>
      <c r="V172" s="1187"/>
      <c r="W172" s="1188"/>
      <c r="X172" s="1185"/>
      <c r="Y172" s="1110"/>
      <c r="Z172" s="1110"/>
      <c r="AA172" s="1110"/>
      <c r="AB172" s="1110"/>
    </row>
    <row r="173" spans="1:28" ht="13.5" thickBot="1" x14ac:dyDescent="0.25">
      <c r="A173" s="1158"/>
      <c r="B173" s="1393"/>
      <c r="C173" s="1478"/>
      <c r="D173" s="1444"/>
      <c r="E173" s="1445"/>
      <c r="F173" s="1478"/>
      <c r="G173" s="1399"/>
      <c r="H173" s="1463"/>
      <c r="I173" s="1466"/>
      <c r="J173" s="1467"/>
      <c r="K173" s="1490"/>
      <c r="L173" s="1492"/>
      <c r="M173" s="1492"/>
      <c r="N173" s="1492"/>
      <c r="O173" s="1494"/>
      <c r="P173" s="1467"/>
      <c r="Q173" s="1496"/>
      <c r="R173" s="1488"/>
      <c r="S173" s="1467"/>
      <c r="T173" s="1467"/>
      <c r="U173" s="1455" t="s">
        <v>1297</v>
      </c>
      <c r="V173" s="1456"/>
      <c r="W173" s="1457"/>
      <c r="X173" s="1190">
        <v>1</v>
      </c>
      <c r="Y173" s="1110"/>
      <c r="Z173" s="1110"/>
      <c r="AA173" s="1110"/>
      <c r="AB173" s="1110"/>
    </row>
    <row r="174" spans="1:28" x14ac:dyDescent="0.2">
      <c r="A174" s="1158"/>
      <c r="B174" s="1393"/>
      <c r="C174" s="1477"/>
      <c r="D174" s="1397"/>
      <c r="E174" s="1400"/>
      <c r="F174" s="1477">
        <f t="shared" ref="F174" si="14">D174*E174</f>
        <v>0</v>
      </c>
      <c r="G174" s="1397">
        <f>E174</f>
        <v>0</v>
      </c>
      <c r="H174" s="1479"/>
      <c r="I174" s="1481"/>
      <c r="J174" s="1483">
        <v>1</v>
      </c>
      <c r="K174" s="1485" t="s">
        <v>1295</v>
      </c>
      <c r="L174" s="1427"/>
      <c r="M174" s="1427"/>
      <c r="N174" s="1427"/>
      <c r="O174" s="1428"/>
      <c r="P174" s="1483">
        <f>1-O174-O176</f>
        <v>1</v>
      </c>
      <c r="Q174" s="1474"/>
      <c r="R174" s="1497"/>
      <c r="S174" s="1483">
        <v>1</v>
      </c>
      <c r="T174" s="1483">
        <f>J174*P174*S174</f>
        <v>1</v>
      </c>
      <c r="U174" s="1191"/>
      <c r="V174" s="1192"/>
      <c r="W174" s="1193"/>
      <c r="X174" s="1181"/>
      <c r="Y174" s="1110"/>
      <c r="Z174" s="1110"/>
      <c r="AA174" s="1110"/>
      <c r="AB174" s="1110"/>
    </row>
    <row r="175" spans="1:28" x14ac:dyDescent="0.2">
      <c r="A175" s="1158"/>
      <c r="B175" s="1393"/>
      <c r="C175" s="1458"/>
      <c r="D175" s="1398"/>
      <c r="E175" s="1401"/>
      <c r="F175" s="1458"/>
      <c r="G175" s="1398"/>
      <c r="H175" s="1462"/>
      <c r="I175" s="1465"/>
      <c r="J175" s="1467"/>
      <c r="K175" s="1469"/>
      <c r="L175" s="1424"/>
      <c r="M175" s="1424"/>
      <c r="N175" s="1424"/>
      <c r="O175" s="1426"/>
      <c r="P175" s="1467"/>
      <c r="Q175" s="1475"/>
      <c r="R175" s="1487"/>
      <c r="S175" s="1467"/>
      <c r="T175" s="1467"/>
      <c r="U175" s="1182"/>
      <c r="V175" s="1183"/>
      <c r="W175" s="1184"/>
      <c r="X175" s="1185"/>
      <c r="Y175" s="1110"/>
      <c r="Z175" s="1110"/>
      <c r="AA175" s="1110"/>
      <c r="AB175" s="1110"/>
    </row>
    <row r="176" spans="1:28" x14ac:dyDescent="0.2">
      <c r="A176" s="1158"/>
      <c r="B176" s="1393"/>
      <c r="C176" s="1458"/>
      <c r="D176" s="1398"/>
      <c r="E176" s="1401"/>
      <c r="F176" s="1458"/>
      <c r="G176" s="1398"/>
      <c r="H176" s="1462"/>
      <c r="I176" s="1465"/>
      <c r="J176" s="1467"/>
      <c r="K176" s="1489" t="s">
        <v>1296</v>
      </c>
      <c r="L176" s="1491"/>
      <c r="M176" s="1491"/>
      <c r="N176" s="1491"/>
      <c r="O176" s="1493"/>
      <c r="P176" s="1467"/>
      <c r="Q176" s="1475"/>
      <c r="R176" s="1487"/>
      <c r="S176" s="1467"/>
      <c r="T176" s="1467"/>
      <c r="U176" s="1182"/>
      <c r="V176" s="1183"/>
      <c r="W176" s="1184"/>
      <c r="X176" s="1185"/>
      <c r="Y176" s="1110"/>
      <c r="Z176" s="1110"/>
      <c r="AA176" s="1110"/>
      <c r="AB176" s="1110"/>
    </row>
    <row r="177" spans="1:28" ht="13.5" thickBot="1" x14ac:dyDescent="0.25">
      <c r="A177" s="1158"/>
      <c r="B177" s="1393"/>
      <c r="C177" s="1458"/>
      <c r="D177" s="1398"/>
      <c r="E177" s="1401"/>
      <c r="F177" s="1458"/>
      <c r="G177" s="1398"/>
      <c r="H177" s="1462"/>
      <c r="I177" s="1465"/>
      <c r="J177" s="1467"/>
      <c r="K177" s="1489"/>
      <c r="L177" s="1491"/>
      <c r="M177" s="1491"/>
      <c r="N177" s="1491"/>
      <c r="O177" s="1493"/>
      <c r="P177" s="1467"/>
      <c r="Q177" s="1475"/>
      <c r="R177" s="1487"/>
      <c r="S177" s="1467"/>
      <c r="T177" s="1467"/>
      <c r="U177" s="1186"/>
      <c r="V177" s="1187"/>
      <c r="W177" s="1188"/>
      <c r="X177" s="1185"/>
      <c r="Y177" s="1110"/>
      <c r="Z177" s="1110"/>
      <c r="AA177" s="1110"/>
      <c r="AB177" s="1110"/>
    </row>
    <row r="178" spans="1:28" ht="13.5" thickBot="1" x14ac:dyDescent="0.25">
      <c r="A178" s="1158"/>
      <c r="B178" s="1394"/>
      <c r="C178" s="1478"/>
      <c r="D178" s="1444"/>
      <c r="E178" s="1445"/>
      <c r="F178" s="1478"/>
      <c r="G178" s="1444"/>
      <c r="H178" s="1480"/>
      <c r="I178" s="1482"/>
      <c r="J178" s="1484"/>
      <c r="K178" s="1499"/>
      <c r="L178" s="1500"/>
      <c r="M178" s="1500"/>
      <c r="N178" s="1500"/>
      <c r="O178" s="1501"/>
      <c r="P178" s="1484"/>
      <c r="Q178" s="1476"/>
      <c r="R178" s="1498"/>
      <c r="S178" s="1484"/>
      <c r="T178" s="1484"/>
      <c r="U178" s="1455" t="s">
        <v>1297</v>
      </c>
      <c r="V178" s="1456"/>
      <c r="W178" s="1457"/>
      <c r="X178" s="1190">
        <v>1</v>
      </c>
      <c r="Y178" s="1110"/>
      <c r="Z178" s="1110"/>
      <c r="AA178" s="1110"/>
      <c r="AB178" s="1110"/>
    </row>
    <row r="179" spans="1:28" ht="13.5" thickBot="1" x14ac:dyDescent="0.25">
      <c r="A179" s="1158"/>
      <c r="B179" s="1119"/>
      <c r="C179" s="1119"/>
      <c r="D179" s="1119"/>
      <c r="E179" s="1119"/>
      <c r="F179" s="1119"/>
      <c r="G179" s="1119"/>
      <c r="H179" s="1119"/>
      <c r="I179" s="1119"/>
      <c r="J179" s="1505" t="s">
        <v>1298</v>
      </c>
      <c r="K179" s="1506"/>
      <c r="L179" s="1506"/>
      <c r="M179" s="1506"/>
      <c r="N179" s="1506"/>
      <c r="O179" s="1506"/>
      <c r="P179" s="1506"/>
      <c r="Q179" s="1506"/>
      <c r="R179" s="1506"/>
      <c r="S179" s="1507"/>
      <c r="T179" s="1215" t="e">
        <f>(T149*F149+T154*F154+T159*F159+T164*F164+T169*F169+T174*F174)/(F149+F154+F159+F164+F169+F174)</f>
        <v>#DIV/0!</v>
      </c>
      <c r="U179" s="1508" t="s">
        <v>1299</v>
      </c>
      <c r="V179" s="1509"/>
      <c r="W179" s="1510"/>
      <c r="X179" s="1196" t="e">
        <f>(X153*F149+X158*F154+X163*F159+X168*F164+X173*F169+X178*F174)/(F149+F154+F159+F164+F169+F174)</f>
        <v>#DIV/0!</v>
      </c>
      <c r="Y179" s="1110"/>
      <c r="Z179" s="1110"/>
      <c r="AA179" s="1110"/>
      <c r="AB179" s="1110"/>
    </row>
    <row r="180" spans="1:28" ht="13.5" thickBot="1" x14ac:dyDescent="0.25">
      <c r="A180" s="1158"/>
      <c r="B180" s="1159"/>
      <c r="C180" s="1119"/>
      <c r="D180" s="1119"/>
      <c r="E180" s="1119"/>
      <c r="F180" s="1119"/>
      <c r="G180" s="1119"/>
      <c r="H180" s="1119"/>
      <c r="I180" s="1119"/>
      <c r="J180" s="1511" t="s">
        <v>1300</v>
      </c>
      <c r="K180" s="1512"/>
      <c r="L180" s="1512"/>
      <c r="M180" s="1512"/>
      <c r="N180" s="1512"/>
      <c r="O180" s="1512"/>
      <c r="P180" s="1512"/>
      <c r="Q180" s="1512"/>
      <c r="R180" s="1512"/>
      <c r="S180" s="1513"/>
      <c r="T180" s="1514" t="e">
        <f>T179*X179</f>
        <v>#DIV/0!</v>
      </c>
      <c r="U180" s="1514"/>
      <c r="V180" s="1514"/>
      <c r="W180" s="1514"/>
      <c r="X180" s="1515"/>
      <c r="Y180" s="1110"/>
      <c r="Z180" s="1110"/>
      <c r="AA180" s="1110"/>
      <c r="AB180" s="1110"/>
    </row>
    <row r="181" spans="1:28" x14ac:dyDescent="0.2">
      <c r="A181" s="1158"/>
      <c r="B181" s="1158"/>
      <c r="C181" s="1158"/>
      <c r="D181" s="1158"/>
      <c r="E181" s="1158"/>
      <c r="F181" s="1158"/>
      <c r="G181" s="1158"/>
      <c r="H181" s="1158"/>
      <c r="I181" s="1158"/>
      <c r="J181" s="1158"/>
      <c r="K181" s="1158"/>
      <c r="L181" s="1158"/>
      <c r="M181" s="1158"/>
      <c r="N181" s="1158"/>
      <c r="O181" s="1158"/>
      <c r="P181" s="1158"/>
      <c r="Q181" s="1158"/>
      <c r="R181" s="1158"/>
      <c r="S181" s="1110"/>
      <c r="T181" s="1110"/>
      <c r="U181" s="1110"/>
      <c r="V181" s="1110"/>
      <c r="W181" s="1110"/>
      <c r="X181" s="1161"/>
      <c r="Y181" s="1110"/>
      <c r="Z181" s="1110"/>
      <c r="AA181" s="1110"/>
      <c r="AB181" s="1110"/>
    </row>
    <row r="182" spans="1:28" x14ac:dyDescent="0.2">
      <c r="A182" s="1158"/>
      <c r="B182" s="1158"/>
      <c r="C182" s="1158"/>
      <c r="D182" s="1158"/>
      <c r="E182" s="1158"/>
      <c r="F182" s="1158"/>
      <c r="G182" s="1158"/>
      <c r="H182" s="1158"/>
      <c r="I182" s="1158"/>
      <c r="J182" s="1158"/>
      <c r="K182" s="1158"/>
      <c r="L182" s="1158"/>
      <c r="M182" s="1158"/>
      <c r="N182" s="1158"/>
      <c r="O182" s="1158"/>
      <c r="P182" s="1158"/>
      <c r="Q182" s="1158"/>
      <c r="R182" s="1158"/>
      <c r="S182" s="1110"/>
      <c r="T182" s="1110"/>
      <c r="U182" s="1110"/>
      <c r="V182" s="1110"/>
      <c r="W182" s="1110"/>
      <c r="X182" s="1161"/>
      <c r="Y182" s="1110"/>
      <c r="Z182" s="1110"/>
      <c r="AA182" s="1110"/>
      <c r="AB182" s="1110"/>
    </row>
    <row r="183" spans="1:28" ht="13.5" hidden="1" thickBot="1" x14ac:dyDescent="0.25">
      <c r="A183" s="1158"/>
      <c r="B183" s="1158"/>
      <c r="C183" s="1158"/>
      <c r="D183" s="1158"/>
      <c r="E183" s="1158"/>
      <c r="F183" s="1158"/>
      <c r="G183" s="1429" t="s">
        <v>1282</v>
      </c>
      <c r="H183" s="1430"/>
      <c r="I183" s="1430"/>
      <c r="J183" s="1430"/>
      <c r="K183" s="1431"/>
      <c r="L183" s="1431"/>
      <c r="M183" s="1431"/>
      <c r="N183" s="1431"/>
      <c r="O183" s="1431"/>
      <c r="P183" s="1431"/>
      <c r="Q183" s="1430"/>
      <c r="R183" s="1430"/>
      <c r="S183" s="1430"/>
      <c r="T183" s="1432"/>
      <c r="U183" s="1433" t="s">
        <v>1283</v>
      </c>
      <c r="V183" s="1434"/>
      <c r="W183" s="1434"/>
      <c r="X183" s="1435"/>
      <c r="Y183" s="1110"/>
      <c r="Z183" s="1110"/>
      <c r="AA183" s="1110"/>
      <c r="AB183" s="1110"/>
    </row>
    <row r="184" spans="1:28" ht="13.5" hidden="1" thickBot="1" x14ac:dyDescent="0.25">
      <c r="A184" s="1158"/>
      <c r="B184" s="1200" t="s">
        <v>793</v>
      </c>
      <c r="C184" s="1201" t="s">
        <v>1284</v>
      </c>
      <c r="D184" s="1202"/>
      <c r="E184" s="1202"/>
      <c r="F184" s="1203" t="s">
        <v>1287</v>
      </c>
      <c r="G184" s="1204" t="s">
        <v>1161</v>
      </c>
      <c r="H184" s="1205" t="s">
        <v>339</v>
      </c>
      <c r="I184" s="1206" t="s">
        <v>1164</v>
      </c>
      <c r="J184" s="1169" t="s">
        <v>1288</v>
      </c>
      <c r="K184" s="1170" t="s">
        <v>1289</v>
      </c>
      <c r="L184" s="1171" t="s">
        <v>1176</v>
      </c>
      <c r="M184" s="1171" t="s">
        <v>1178</v>
      </c>
      <c r="N184" s="1171" t="s">
        <v>303</v>
      </c>
      <c r="O184" s="1172" t="s">
        <v>565</v>
      </c>
      <c r="P184" s="1169" t="s">
        <v>1290</v>
      </c>
      <c r="Q184" s="1173" t="s">
        <v>1231</v>
      </c>
      <c r="R184" s="1174" t="s">
        <v>1291</v>
      </c>
      <c r="S184" s="1207" t="s">
        <v>1292</v>
      </c>
      <c r="T184" s="1208" t="s">
        <v>1293</v>
      </c>
      <c r="U184" s="1209" t="s">
        <v>336</v>
      </c>
      <c r="V184" s="1210" t="s">
        <v>337</v>
      </c>
      <c r="W184" s="1211" t="s">
        <v>1294</v>
      </c>
      <c r="X184" s="1177" t="s">
        <v>1158</v>
      </c>
      <c r="Y184" s="1110"/>
      <c r="Z184" s="1110"/>
      <c r="AA184" s="1110"/>
      <c r="AB184" s="1110"/>
    </row>
    <row r="185" spans="1:28" hidden="1" x14ac:dyDescent="0.2">
      <c r="A185" s="1158"/>
      <c r="B185" s="1392" t="s">
        <v>1301</v>
      </c>
      <c r="C185" s="1477"/>
      <c r="D185" s="1212"/>
      <c r="E185" s="1212"/>
      <c r="F185" s="1477">
        <v>1</v>
      </c>
      <c r="G185" s="1502"/>
      <c r="H185" s="1479"/>
      <c r="I185" s="1481"/>
      <c r="J185" s="1483">
        <v>1</v>
      </c>
      <c r="K185" s="1485" t="s">
        <v>1295</v>
      </c>
      <c r="L185" s="1427"/>
      <c r="M185" s="1427"/>
      <c r="N185" s="1427"/>
      <c r="O185" s="1428"/>
      <c r="P185" s="1483">
        <f>1-O185-O187</f>
        <v>1</v>
      </c>
      <c r="Q185" s="1474"/>
      <c r="R185" s="1497"/>
      <c r="S185" s="1483">
        <v>1</v>
      </c>
      <c r="T185" s="1483">
        <f>J185*P185*S185</f>
        <v>1</v>
      </c>
      <c r="U185" s="1191"/>
      <c r="V185" s="1192"/>
      <c r="W185" s="1193"/>
      <c r="X185" s="1181"/>
      <c r="Y185" s="1110"/>
      <c r="Z185" s="1110"/>
      <c r="AA185" s="1110"/>
      <c r="AB185" s="1110"/>
    </row>
    <row r="186" spans="1:28" hidden="1" x14ac:dyDescent="0.2">
      <c r="A186" s="1158"/>
      <c r="B186" s="1393"/>
      <c r="C186" s="1458"/>
      <c r="D186" s="1213"/>
      <c r="E186" s="1213"/>
      <c r="F186" s="1458"/>
      <c r="G186" s="1503"/>
      <c r="H186" s="1462"/>
      <c r="I186" s="1465"/>
      <c r="J186" s="1467"/>
      <c r="K186" s="1469"/>
      <c r="L186" s="1424"/>
      <c r="M186" s="1424"/>
      <c r="N186" s="1424"/>
      <c r="O186" s="1426"/>
      <c r="P186" s="1467"/>
      <c r="Q186" s="1475"/>
      <c r="R186" s="1487"/>
      <c r="S186" s="1467"/>
      <c r="T186" s="1467"/>
      <c r="U186" s="1182"/>
      <c r="V186" s="1183"/>
      <c r="W186" s="1184"/>
      <c r="X186" s="1185"/>
      <c r="Y186" s="1110"/>
      <c r="Z186" s="1110"/>
      <c r="AA186" s="1110"/>
      <c r="AB186" s="1110"/>
    </row>
    <row r="187" spans="1:28" hidden="1" x14ac:dyDescent="0.2">
      <c r="A187" s="1158"/>
      <c r="B187" s="1393"/>
      <c r="C187" s="1458"/>
      <c r="D187" s="1213"/>
      <c r="E187" s="1213"/>
      <c r="F187" s="1458"/>
      <c r="G187" s="1503"/>
      <c r="H187" s="1462"/>
      <c r="I187" s="1465"/>
      <c r="J187" s="1467"/>
      <c r="K187" s="1489" t="s">
        <v>1296</v>
      </c>
      <c r="L187" s="1491"/>
      <c r="M187" s="1491"/>
      <c r="N187" s="1491"/>
      <c r="O187" s="1493"/>
      <c r="P187" s="1467"/>
      <c r="Q187" s="1475"/>
      <c r="R187" s="1487"/>
      <c r="S187" s="1467"/>
      <c r="T187" s="1467"/>
      <c r="U187" s="1182"/>
      <c r="V187" s="1183"/>
      <c r="W187" s="1184"/>
      <c r="X187" s="1185"/>
      <c r="Y187" s="1110"/>
      <c r="Z187" s="1110"/>
      <c r="AA187" s="1110"/>
      <c r="AB187" s="1110"/>
    </row>
    <row r="188" spans="1:28" hidden="1" x14ac:dyDescent="0.2">
      <c r="A188" s="1158"/>
      <c r="B188" s="1393"/>
      <c r="C188" s="1458"/>
      <c r="D188" s="1213"/>
      <c r="E188" s="1213"/>
      <c r="F188" s="1458"/>
      <c r="G188" s="1503"/>
      <c r="H188" s="1462"/>
      <c r="I188" s="1465"/>
      <c r="J188" s="1467"/>
      <c r="K188" s="1489"/>
      <c r="L188" s="1491"/>
      <c r="M188" s="1491"/>
      <c r="N188" s="1491"/>
      <c r="O188" s="1493"/>
      <c r="P188" s="1467"/>
      <c r="Q188" s="1475"/>
      <c r="R188" s="1487"/>
      <c r="S188" s="1467"/>
      <c r="T188" s="1467"/>
      <c r="U188" s="1186"/>
      <c r="V188" s="1187"/>
      <c r="W188" s="1188"/>
      <c r="X188" s="1185"/>
      <c r="Y188" s="1110"/>
      <c r="Z188" s="1110"/>
      <c r="AA188" s="1110"/>
      <c r="AB188" s="1110"/>
    </row>
    <row r="189" spans="1:28" ht="13.5" hidden="1" thickBot="1" x14ac:dyDescent="0.25">
      <c r="A189" s="1158"/>
      <c r="B189" s="1393"/>
      <c r="C189" s="1478"/>
      <c r="D189" s="1214"/>
      <c r="E189" s="1214"/>
      <c r="F189" s="1478"/>
      <c r="G189" s="1504"/>
      <c r="H189" s="1463"/>
      <c r="I189" s="1466"/>
      <c r="J189" s="1467"/>
      <c r="K189" s="1490"/>
      <c r="L189" s="1492"/>
      <c r="M189" s="1492"/>
      <c r="N189" s="1492"/>
      <c r="O189" s="1494"/>
      <c r="P189" s="1467"/>
      <c r="Q189" s="1496"/>
      <c r="R189" s="1488"/>
      <c r="S189" s="1467"/>
      <c r="T189" s="1467"/>
      <c r="U189" s="1455" t="s">
        <v>1297</v>
      </c>
      <c r="V189" s="1456"/>
      <c r="W189" s="1457"/>
      <c r="X189" s="1190">
        <v>1</v>
      </c>
      <c r="Y189" s="1110"/>
      <c r="Z189" s="1110"/>
      <c r="AA189" s="1110"/>
      <c r="AB189" s="1110"/>
    </row>
    <row r="190" spans="1:28" hidden="1" x14ac:dyDescent="0.2">
      <c r="A190" s="1158"/>
      <c r="B190" s="1393"/>
      <c r="C190" s="1477"/>
      <c r="D190" s="1212"/>
      <c r="E190" s="1212"/>
      <c r="F190" s="1477">
        <v>1</v>
      </c>
      <c r="G190" s="1502"/>
      <c r="H190" s="1479"/>
      <c r="I190" s="1481"/>
      <c r="J190" s="1483">
        <v>1</v>
      </c>
      <c r="K190" s="1485" t="s">
        <v>1295</v>
      </c>
      <c r="L190" s="1427"/>
      <c r="M190" s="1427"/>
      <c r="N190" s="1427"/>
      <c r="O190" s="1428"/>
      <c r="P190" s="1483">
        <f>1-O190-O192</f>
        <v>1</v>
      </c>
      <c r="Q190" s="1474"/>
      <c r="R190" s="1497"/>
      <c r="S190" s="1483">
        <v>1</v>
      </c>
      <c r="T190" s="1483">
        <f>J190*P190*S190</f>
        <v>1</v>
      </c>
      <c r="U190" s="1191"/>
      <c r="V190" s="1192"/>
      <c r="W190" s="1193"/>
      <c r="X190" s="1181"/>
      <c r="Y190" s="1110"/>
      <c r="Z190" s="1110"/>
      <c r="AA190" s="1110"/>
      <c r="AB190" s="1110"/>
    </row>
    <row r="191" spans="1:28" hidden="1" x14ac:dyDescent="0.2">
      <c r="A191" s="1158"/>
      <c r="B191" s="1393"/>
      <c r="C191" s="1458"/>
      <c r="D191" s="1213"/>
      <c r="E191" s="1213"/>
      <c r="F191" s="1458"/>
      <c r="G191" s="1503"/>
      <c r="H191" s="1462"/>
      <c r="I191" s="1465"/>
      <c r="J191" s="1467"/>
      <c r="K191" s="1469"/>
      <c r="L191" s="1424"/>
      <c r="M191" s="1424"/>
      <c r="N191" s="1424"/>
      <c r="O191" s="1426"/>
      <c r="P191" s="1467"/>
      <c r="Q191" s="1475"/>
      <c r="R191" s="1487"/>
      <c r="S191" s="1467"/>
      <c r="T191" s="1467"/>
      <c r="U191" s="1182"/>
      <c r="V191" s="1183"/>
      <c r="W191" s="1184"/>
      <c r="X191" s="1185"/>
      <c r="Y191" s="1110"/>
      <c r="Z191" s="1110"/>
      <c r="AA191" s="1110"/>
      <c r="AB191" s="1110"/>
    </row>
    <row r="192" spans="1:28" hidden="1" x14ac:dyDescent="0.2">
      <c r="A192" s="1158"/>
      <c r="B192" s="1393"/>
      <c r="C192" s="1458"/>
      <c r="D192" s="1213"/>
      <c r="E192" s="1213"/>
      <c r="F192" s="1458"/>
      <c r="G192" s="1503"/>
      <c r="H192" s="1462"/>
      <c r="I192" s="1465"/>
      <c r="J192" s="1467"/>
      <c r="K192" s="1489" t="s">
        <v>1296</v>
      </c>
      <c r="L192" s="1491"/>
      <c r="M192" s="1491"/>
      <c r="N192" s="1491"/>
      <c r="O192" s="1493"/>
      <c r="P192" s="1467"/>
      <c r="Q192" s="1475"/>
      <c r="R192" s="1487"/>
      <c r="S192" s="1467"/>
      <c r="T192" s="1467"/>
      <c r="U192" s="1182"/>
      <c r="V192" s="1183"/>
      <c r="W192" s="1184"/>
      <c r="X192" s="1185"/>
      <c r="Y192" s="1110"/>
      <c r="Z192" s="1110"/>
      <c r="AA192" s="1110"/>
      <c r="AB192" s="1110"/>
    </row>
    <row r="193" spans="1:28" hidden="1" x14ac:dyDescent="0.2">
      <c r="A193" s="1158"/>
      <c r="B193" s="1393"/>
      <c r="C193" s="1458"/>
      <c r="D193" s="1213"/>
      <c r="E193" s="1213"/>
      <c r="F193" s="1458"/>
      <c r="G193" s="1503"/>
      <c r="H193" s="1462"/>
      <c r="I193" s="1465"/>
      <c r="J193" s="1467"/>
      <c r="K193" s="1489"/>
      <c r="L193" s="1491"/>
      <c r="M193" s="1491"/>
      <c r="N193" s="1491"/>
      <c r="O193" s="1493"/>
      <c r="P193" s="1467"/>
      <c r="Q193" s="1475"/>
      <c r="R193" s="1487"/>
      <c r="S193" s="1467"/>
      <c r="T193" s="1467"/>
      <c r="U193" s="1186"/>
      <c r="V193" s="1187"/>
      <c r="W193" s="1188"/>
      <c r="X193" s="1185"/>
      <c r="Y193" s="1110"/>
      <c r="Z193" s="1110"/>
      <c r="AA193" s="1110"/>
      <c r="AB193" s="1110"/>
    </row>
    <row r="194" spans="1:28" ht="13.5" hidden="1" thickBot="1" x14ac:dyDescent="0.25">
      <c r="A194" s="1158"/>
      <c r="B194" s="1393"/>
      <c r="C194" s="1478"/>
      <c r="D194" s="1214"/>
      <c r="E194" s="1214"/>
      <c r="F194" s="1478"/>
      <c r="G194" s="1516"/>
      <c r="H194" s="1480"/>
      <c r="I194" s="1482"/>
      <c r="J194" s="1484"/>
      <c r="K194" s="1499"/>
      <c r="L194" s="1500"/>
      <c r="M194" s="1500"/>
      <c r="N194" s="1500"/>
      <c r="O194" s="1501"/>
      <c r="P194" s="1484"/>
      <c r="Q194" s="1476"/>
      <c r="R194" s="1498"/>
      <c r="S194" s="1484"/>
      <c r="T194" s="1484"/>
      <c r="U194" s="1455" t="s">
        <v>1297</v>
      </c>
      <c r="V194" s="1456"/>
      <c r="W194" s="1457"/>
      <c r="X194" s="1190">
        <v>1</v>
      </c>
      <c r="Y194" s="1110"/>
      <c r="Z194" s="1110"/>
      <c r="AA194" s="1110"/>
      <c r="AB194" s="1110"/>
    </row>
    <row r="195" spans="1:28" hidden="1" x14ac:dyDescent="0.2">
      <c r="A195" s="1158"/>
      <c r="B195" s="1393"/>
      <c r="C195" s="1477"/>
      <c r="D195" s="1212"/>
      <c r="E195" s="1212"/>
      <c r="F195" s="1477">
        <v>1</v>
      </c>
      <c r="G195" s="1517"/>
      <c r="H195" s="1461"/>
      <c r="I195" s="1464"/>
      <c r="J195" s="1467">
        <v>1</v>
      </c>
      <c r="K195" s="1468" t="s">
        <v>1295</v>
      </c>
      <c r="L195" s="1423"/>
      <c r="M195" s="1423"/>
      <c r="N195" s="1423"/>
      <c r="O195" s="1425"/>
      <c r="P195" s="1467">
        <f>1-O195-O197</f>
        <v>1</v>
      </c>
      <c r="Q195" s="1495"/>
      <c r="R195" s="1486"/>
      <c r="S195" s="1467">
        <v>1</v>
      </c>
      <c r="T195" s="1467">
        <f>J195*P195*S195</f>
        <v>1</v>
      </c>
      <c r="U195" s="1191"/>
      <c r="V195" s="1192"/>
      <c r="W195" s="1193"/>
      <c r="X195" s="1181"/>
      <c r="Y195" s="1110"/>
      <c r="Z195" s="1110"/>
      <c r="AA195" s="1110"/>
      <c r="AB195" s="1110"/>
    </row>
    <row r="196" spans="1:28" hidden="1" x14ac:dyDescent="0.2">
      <c r="A196" s="1158"/>
      <c r="B196" s="1393"/>
      <c r="C196" s="1458"/>
      <c r="D196" s="1213"/>
      <c r="E196" s="1213"/>
      <c r="F196" s="1458"/>
      <c r="G196" s="1503"/>
      <c r="H196" s="1462"/>
      <c r="I196" s="1465"/>
      <c r="J196" s="1467"/>
      <c r="K196" s="1469"/>
      <c r="L196" s="1424"/>
      <c r="M196" s="1424"/>
      <c r="N196" s="1424"/>
      <c r="O196" s="1426"/>
      <c r="P196" s="1467"/>
      <c r="Q196" s="1475"/>
      <c r="R196" s="1487"/>
      <c r="S196" s="1467"/>
      <c r="T196" s="1467"/>
      <c r="U196" s="1182"/>
      <c r="V196" s="1183"/>
      <c r="W196" s="1184"/>
      <c r="X196" s="1185"/>
      <c r="Y196" s="1110"/>
      <c r="Z196" s="1110"/>
      <c r="AA196" s="1110"/>
      <c r="AB196" s="1110"/>
    </row>
    <row r="197" spans="1:28" hidden="1" x14ac:dyDescent="0.2">
      <c r="A197" s="1158"/>
      <c r="B197" s="1393"/>
      <c r="C197" s="1458"/>
      <c r="D197" s="1213"/>
      <c r="E197" s="1213"/>
      <c r="F197" s="1458"/>
      <c r="G197" s="1503"/>
      <c r="H197" s="1462"/>
      <c r="I197" s="1465"/>
      <c r="J197" s="1467"/>
      <c r="K197" s="1489" t="s">
        <v>1296</v>
      </c>
      <c r="L197" s="1491"/>
      <c r="M197" s="1491"/>
      <c r="N197" s="1491"/>
      <c r="O197" s="1493"/>
      <c r="P197" s="1467"/>
      <c r="Q197" s="1475"/>
      <c r="R197" s="1487"/>
      <c r="S197" s="1467"/>
      <c r="T197" s="1467"/>
      <c r="U197" s="1182"/>
      <c r="V197" s="1183"/>
      <c r="W197" s="1184"/>
      <c r="X197" s="1185"/>
      <c r="Y197" s="1110"/>
      <c r="Z197" s="1110"/>
      <c r="AA197" s="1110"/>
      <c r="AB197" s="1110"/>
    </row>
    <row r="198" spans="1:28" hidden="1" x14ac:dyDescent="0.2">
      <c r="A198" s="1158"/>
      <c r="B198" s="1393"/>
      <c r="C198" s="1458"/>
      <c r="D198" s="1213"/>
      <c r="E198" s="1213"/>
      <c r="F198" s="1458"/>
      <c r="G198" s="1503"/>
      <c r="H198" s="1462"/>
      <c r="I198" s="1465"/>
      <c r="J198" s="1467"/>
      <c r="K198" s="1489"/>
      <c r="L198" s="1491"/>
      <c r="M198" s="1491"/>
      <c r="N198" s="1491"/>
      <c r="O198" s="1493"/>
      <c r="P198" s="1467"/>
      <c r="Q198" s="1475"/>
      <c r="R198" s="1487"/>
      <c r="S198" s="1467"/>
      <c r="T198" s="1467"/>
      <c r="U198" s="1186"/>
      <c r="V198" s="1187"/>
      <c r="W198" s="1188"/>
      <c r="X198" s="1185"/>
      <c r="Y198" s="1110"/>
      <c r="Z198" s="1110"/>
      <c r="AA198" s="1110"/>
      <c r="AB198" s="1110"/>
    </row>
    <row r="199" spans="1:28" ht="13.5" hidden="1" thickBot="1" x14ac:dyDescent="0.25">
      <c r="A199" s="1158"/>
      <c r="B199" s="1393"/>
      <c r="C199" s="1478"/>
      <c r="D199" s="1214"/>
      <c r="E199" s="1214"/>
      <c r="F199" s="1478"/>
      <c r="G199" s="1504"/>
      <c r="H199" s="1463"/>
      <c r="I199" s="1466"/>
      <c r="J199" s="1467"/>
      <c r="K199" s="1490"/>
      <c r="L199" s="1492"/>
      <c r="M199" s="1492"/>
      <c r="N199" s="1492"/>
      <c r="O199" s="1494"/>
      <c r="P199" s="1467"/>
      <c r="Q199" s="1496"/>
      <c r="R199" s="1488"/>
      <c r="S199" s="1467"/>
      <c r="T199" s="1467"/>
      <c r="U199" s="1455" t="s">
        <v>1297</v>
      </c>
      <c r="V199" s="1456"/>
      <c r="W199" s="1457"/>
      <c r="X199" s="1190">
        <v>1</v>
      </c>
      <c r="Y199" s="1110"/>
      <c r="Z199" s="1110"/>
      <c r="AA199" s="1110"/>
      <c r="AB199" s="1110"/>
    </row>
    <row r="200" spans="1:28" hidden="1" x14ac:dyDescent="0.2">
      <c r="A200" s="1158"/>
      <c r="B200" s="1393"/>
      <c r="C200" s="1477"/>
      <c r="D200" s="1212"/>
      <c r="E200" s="1212"/>
      <c r="F200" s="1477">
        <v>1</v>
      </c>
      <c r="G200" s="1502"/>
      <c r="H200" s="1479"/>
      <c r="I200" s="1481"/>
      <c r="J200" s="1483">
        <v>1</v>
      </c>
      <c r="K200" s="1485" t="s">
        <v>1295</v>
      </c>
      <c r="L200" s="1427"/>
      <c r="M200" s="1427"/>
      <c r="N200" s="1427"/>
      <c r="O200" s="1428"/>
      <c r="P200" s="1483">
        <f>1-O200-O202</f>
        <v>1</v>
      </c>
      <c r="Q200" s="1474"/>
      <c r="R200" s="1497"/>
      <c r="S200" s="1483">
        <v>1</v>
      </c>
      <c r="T200" s="1483">
        <f>J200*P200*S200</f>
        <v>1</v>
      </c>
      <c r="U200" s="1191"/>
      <c r="V200" s="1192"/>
      <c r="W200" s="1193"/>
      <c r="X200" s="1181"/>
      <c r="Y200" s="1110"/>
      <c r="Z200" s="1110"/>
      <c r="AA200" s="1110"/>
      <c r="AB200" s="1110"/>
    </row>
    <row r="201" spans="1:28" hidden="1" x14ac:dyDescent="0.2">
      <c r="A201" s="1158"/>
      <c r="B201" s="1393"/>
      <c r="C201" s="1458"/>
      <c r="D201" s="1213"/>
      <c r="E201" s="1213"/>
      <c r="F201" s="1458"/>
      <c r="G201" s="1503"/>
      <c r="H201" s="1462"/>
      <c r="I201" s="1465"/>
      <c r="J201" s="1467"/>
      <c r="K201" s="1469"/>
      <c r="L201" s="1424"/>
      <c r="M201" s="1424"/>
      <c r="N201" s="1424"/>
      <c r="O201" s="1426"/>
      <c r="P201" s="1467"/>
      <c r="Q201" s="1475"/>
      <c r="R201" s="1487"/>
      <c r="S201" s="1467"/>
      <c r="T201" s="1467"/>
      <c r="U201" s="1182"/>
      <c r="V201" s="1183"/>
      <c r="W201" s="1184"/>
      <c r="X201" s="1185"/>
      <c r="Y201" s="1110"/>
      <c r="Z201" s="1110"/>
      <c r="AA201" s="1110"/>
      <c r="AB201" s="1110"/>
    </row>
    <row r="202" spans="1:28" hidden="1" x14ac:dyDescent="0.2">
      <c r="A202" s="1158"/>
      <c r="B202" s="1393"/>
      <c r="C202" s="1458"/>
      <c r="D202" s="1213"/>
      <c r="E202" s="1213"/>
      <c r="F202" s="1458"/>
      <c r="G202" s="1503"/>
      <c r="H202" s="1462"/>
      <c r="I202" s="1465"/>
      <c r="J202" s="1467"/>
      <c r="K202" s="1489" t="s">
        <v>1296</v>
      </c>
      <c r="L202" s="1491"/>
      <c r="M202" s="1491"/>
      <c r="N202" s="1491"/>
      <c r="O202" s="1493"/>
      <c r="P202" s="1467"/>
      <c r="Q202" s="1475"/>
      <c r="R202" s="1487"/>
      <c r="S202" s="1467"/>
      <c r="T202" s="1467"/>
      <c r="U202" s="1182"/>
      <c r="V202" s="1183"/>
      <c r="W202" s="1184"/>
      <c r="X202" s="1185"/>
      <c r="Y202" s="1110"/>
      <c r="Z202" s="1110"/>
      <c r="AA202" s="1110"/>
      <c r="AB202" s="1110"/>
    </row>
    <row r="203" spans="1:28" hidden="1" x14ac:dyDescent="0.2">
      <c r="A203" s="1158"/>
      <c r="B203" s="1393"/>
      <c r="C203" s="1458"/>
      <c r="D203" s="1213"/>
      <c r="E203" s="1213"/>
      <c r="F203" s="1458"/>
      <c r="G203" s="1503"/>
      <c r="H203" s="1462"/>
      <c r="I203" s="1465"/>
      <c r="J203" s="1467"/>
      <c r="K203" s="1489"/>
      <c r="L203" s="1491"/>
      <c r="M203" s="1491"/>
      <c r="N203" s="1491"/>
      <c r="O203" s="1493"/>
      <c r="P203" s="1467"/>
      <c r="Q203" s="1475"/>
      <c r="R203" s="1487"/>
      <c r="S203" s="1467"/>
      <c r="T203" s="1467"/>
      <c r="U203" s="1186"/>
      <c r="V203" s="1187"/>
      <c r="W203" s="1188"/>
      <c r="X203" s="1185"/>
      <c r="Y203" s="1110"/>
      <c r="Z203" s="1110"/>
      <c r="AA203" s="1110"/>
      <c r="AB203" s="1110"/>
    </row>
    <row r="204" spans="1:28" ht="13.5" hidden="1" thickBot="1" x14ac:dyDescent="0.25">
      <c r="A204" s="1158"/>
      <c r="B204" s="1393"/>
      <c r="C204" s="1478"/>
      <c r="D204" s="1214"/>
      <c r="E204" s="1214"/>
      <c r="F204" s="1478"/>
      <c r="G204" s="1516"/>
      <c r="H204" s="1480"/>
      <c r="I204" s="1482"/>
      <c r="J204" s="1484"/>
      <c r="K204" s="1499"/>
      <c r="L204" s="1500"/>
      <c r="M204" s="1500"/>
      <c r="N204" s="1500"/>
      <c r="O204" s="1501"/>
      <c r="P204" s="1484"/>
      <c r="Q204" s="1476"/>
      <c r="R204" s="1498"/>
      <c r="S204" s="1484"/>
      <c r="T204" s="1484"/>
      <c r="U204" s="1455" t="s">
        <v>1297</v>
      </c>
      <c r="V204" s="1456"/>
      <c r="W204" s="1457"/>
      <c r="X204" s="1190">
        <v>1</v>
      </c>
      <c r="Y204" s="1110"/>
      <c r="Z204" s="1110"/>
      <c r="AA204" s="1110"/>
      <c r="AB204" s="1110"/>
    </row>
    <row r="205" spans="1:28" hidden="1" x14ac:dyDescent="0.2">
      <c r="A205" s="1158"/>
      <c r="B205" s="1393"/>
      <c r="C205" s="1477"/>
      <c r="D205" s="1212"/>
      <c r="E205" s="1212"/>
      <c r="F205" s="1477">
        <v>1</v>
      </c>
      <c r="G205" s="1517"/>
      <c r="H205" s="1461"/>
      <c r="I205" s="1464"/>
      <c r="J205" s="1467">
        <v>1</v>
      </c>
      <c r="K205" s="1468" t="s">
        <v>1295</v>
      </c>
      <c r="L205" s="1423"/>
      <c r="M205" s="1423"/>
      <c r="N205" s="1423"/>
      <c r="O205" s="1425"/>
      <c r="P205" s="1467">
        <f>1-O205-O207</f>
        <v>1</v>
      </c>
      <c r="Q205" s="1495"/>
      <c r="R205" s="1486"/>
      <c r="S205" s="1467">
        <v>1</v>
      </c>
      <c r="T205" s="1467">
        <f>J205*P205*S205</f>
        <v>1</v>
      </c>
      <c r="U205" s="1191"/>
      <c r="V205" s="1192"/>
      <c r="W205" s="1193"/>
      <c r="X205" s="1181"/>
      <c r="Y205" s="1110"/>
      <c r="Z205" s="1110"/>
      <c r="AA205" s="1110"/>
      <c r="AB205" s="1110"/>
    </row>
    <row r="206" spans="1:28" hidden="1" x14ac:dyDescent="0.2">
      <c r="A206" s="1158"/>
      <c r="B206" s="1393"/>
      <c r="C206" s="1458"/>
      <c r="D206" s="1213"/>
      <c r="E206" s="1213"/>
      <c r="F206" s="1458"/>
      <c r="G206" s="1503"/>
      <c r="H206" s="1462"/>
      <c r="I206" s="1465"/>
      <c r="J206" s="1467"/>
      <c r="K206" s="1469"/>
      <c r="L206" s="1424"/>
      <c r="M206" s="1424"/>
      <c r="N206" s="1424"/>
      <c r="O206" s="1426"/>
      <c r="P206" s="1467"/>
      <c r="Q206" s="1475"/>
      <c r="R206" s="1487"/>
      <c r="S206" s="1467"/>
      <c r="T206" s="1467"/>
      <c r="U206" s="1182"/>
      <c r="V206" s="1183"/>
      <c r="W206" s="1184"/>
      <c r="X206" s="1185"/>
      <c r="Y206" s="1110"/>
      <c r="Z206" s="1110"/>
      <c r="AA206" s="1110"/>
      <c r="AB206" s="1110"/>
    </row>
    <row r="207" spans="1:28" hidden="1" x14ac:dyDescent="0.2">
      <c r="A207" s="1158"/>
      <c r="B207" s="1393"/>
      <c r="C207" s="1458"/>
      <c r="D207" s="1213"/>
      <c r="E207" s="1213"/>
      <c r="F207" s="1458"/>
      <c r="G207" s="1503"/>
      <c r="H207" s="1462"/>
      <c r="I207" s="1465"/>
      <c r="J207" s="1467"/>
      <c r="K207" s="1489" t="s">
        <v>1296</v>
      </c>
      <c r="L207" s="1491"/>
      <c r="M207" s="1491"/>
      <c r="N207" s="1491"/>
      <c r="O207" s="1493"/>
      <c r="P207" s="1467"/>
      <c r="Q207" s="1475"/>
      <c r="R207" s="1487"/>
      <c r="S207" s="1467"/>
      <c r="T207" s="1467"/>
      <c r="U207" s="1182"/>
      <c r="V207" s="1183"/>
      <c r="W207" s="1184"/>
      <c r="X207" s="1185"/>
      <c r="Y207" s="1110"/>
      <c r="Z207" s="1110"/>
      <c r="AA207" s="1110"/>
      <c r="AB207" s="1110"/>
    </row>
    <row r="208" spans="1:28" hidden="1" x14ac:dyDescent="0.2">
      <c r="A208" s="1158"/>
      <c r="B208" s="1393"/>
      <c r="C208" s="1458"/>
      <c r="D208" s="1213"/>
      <c r="E208" s="1213"/>
      <c r="F208" s="1458"/>
      <c r="G208" s="1503"/>
      <c r="H208" s="1462"/>
      <c r="I208" s="1465"/>
      <c r="J208" s="1467"/>
      <c r="K208" s="1489"/>
      <c r="L208" s="1491"/>
      <c r="M208" s="1491"/>
      <c r="N208" s="1491"/>
      <c r="O208" s="1493"/>
      <c r="P208" s="1467"/>
      <c r="Q208" s="1475"/>
      <c r="R208" s="1487"/>
      <c r="S208" s="1467"/>
      <c r="T208" s="1467"/>
      <c r="U208" s="1186"/>
      <c r="V208" s="1187"/>
      <c r="W208" s="1188"/>
      <c r="X208" s="1185"/>
      <c r="Y208" s="1110"/>
      <c r="Z208" s="1110"/>
      <c r="AA208" s="1110"/>
      <c r="AB208" s="1110"/>
    </row>
    <row r="209" spans="1:28" ht="13.5" hidden="1" thickBot="1" x14ac:dyDescent="0.25">
      <c r="A209" s="1158"/>
      <c r="B209" s="1393"/>
      <c r="C209" s="1478"/>
      <c r="D209" s="1214"/>
      <c r="E209" s="1214"/>
      <c r="F209" s="1478"/>
      <c r="G209" s="1504"/>
      <c r="H209" s="1463"/>
      <c r="I209" s="1466"/>
      <c r="J209" s="1467"/>
      <c r="K209" s="1490"/>
      <c r="L209" s="1492"/>
      <c r="M209" s="1492"/>
      <c r="N209" s="1492"/>
      <c r="O209" s="1494"/>
      <c r="P209" s="1467"/>
      <c r="Q209" s="1496"/>
      <c r="R209" s="1488"/>
      <c r="S209" s="1467"/>
      <c r="T209" s="1467"/>
      <c r="U209" s="1455" t="s">
        <v>1297</v>
      </c>
      <c r="V209" s="1456"/>
      <c r="W209" s="1457"/>
      <c r="X209" s="1190">
        <v>1</v>
      </c>
      <c r="Y209" s="1110"/>
      <c r="Z209" s="1110"/>
      <c r="AA209" s="1110"/>
      <c r="AB209" s="1110"/>
    </row>
    <row r="210" spans="1:28" hidden="1" x14ac:dyDescent="0.2">
      <c r="A210" s="1158"/>
      <c r="B210" s="1393"/>
      <c r="C210" s="1477"/>
      <c r="D210" s="1212"/>
      <c r="E210" s="1212"/>
      <c r="F210" s="1477">
        <v>1</v>
      </c>
      <c r="G210" s="1502"/>
      <c r="H210" s="1479"/>
      <c r="I210" s="1481"/>
      <c r="J210" s="1483">
        <v>1</v>
      </c>
      <c r="K210" s="1485" t="s">
        <v>1295</v>
      </c>
      <c r="L210" s="1427"/>
      <c r="M210" s="1427"/>
      <c r="N210" s="1427"/>
      <c r="O210" s="1428"/>
      <c r="P210" s="1483">
        <f>1-O210-O212</f>
        <v>1</v>
      </c>
      <c r="Q210" s="1474"/>
      <c r="R210" s="1497"/>
      <c r="S210" s="1483">
        <v>1</v>
      </c>
      <c r="T210" s="1483">
        <f>J210*P210*S210</f>
        <v>1</v>
      </c>
      <c r="U210" s="1191"/>
      <c r="V210" s="1192"/>
      <c r="W210" s="1193"/>
      <c r="X210" s="1181"/>
      <c r="Y210" s="1110"/>
      <c r="Z210" s="1110"/>
      <c r="AA210" s="1110"/>
      <c r="AB210" s="1110"/>
    </row>
    <row r="211" spans="1:28" hidden="1" x14ac:dyDescent="0.2">
      <c r="A211" s="1158"/>
      <c r="B211" s="1393"/>
      <c r="C211" s="1458"/>
      <c r="D211" s="1213"/>
      <c r="E211" s="1213"/>
      <c r="F211" s="1458"/>
      <c r="G211" s="1503"/>
      <c r="H211" s="1462"/>
      <c r="I211" s="1465"/>
      <c r="J211" s="1467"/>
      <c r="K211" s="1469"/>
      <c r="L211" s="1424"/>
      <c r="M211" s="1424"/>
      <c r="N211" s="1424"/>
      <c r="O211" s="1426"/>
      <c r="P211" s="1467"/>
      <c r="Q211" s="1475"/>
      <c r="R211" s="1487"/>
      <c r="S211" s="1467"/>
      <c r="T211" s="1467"/>
      <c r="U211" s="1182"/>
      <c r="V211" s="1183"/>
      <c r="W211" s="1184"/>
      <c r="X211" s="1185"/>
      <c r="Y211" s="1110"/>
      <c r="Z211" s="1110"/>
      <c r="AA211" s="1110"/>
      <c r="AB211" s="1110"/>
    </row>
    <row r="212" spans="1:28" hidden="1" x14ac:dyDescent="0.2">
      <c r="A212" s="1158"/>
      <c r="B212" s="1393"/>
      <c r="C212" s="1458"/>
      <c r="D212" s="1213"/>
      <c r="E212" s="1213"/>
      <c r="F212" s="1458"/>
      <c r="G212" s="1503"/>
      <c r="H212" s="1462"/>
      <c r="I212" s="1465"/>
      <c r="J212" s="1467"/>
      <c r="K212" s="1489" t="s">
        <v>1296</v>
      </c>
      <c r="L212" s="1491"/>
      <c r="M212" s="1491"/>
      <c r="N212" s="1491"/>
      <c r="O212" s="1493"/>
      <c r="P212" s="1467"/>
      <c r="Q212" s="1475"/>
      <c r="R212" s="1487"/>
      <c r="S212" s="1467"/>
      <c r="T212" s="1467"/>
      <c r="U212" s="1182"/>
      <c r="V212" s="1183"/>
      <c r="W212" s="1184"/>
      <c r="X212" s="1185"/>
      <c r="Y212" s="1110"/>
      <c r="Z212" s="1110"/>
      <c r="AA212" s="1110"/>
      <c r="AB212" s="1110"/>
    </row>
    <row r="213" spans="1:28" hidden="1" x14ac:dyDescent="0.2">
      <c r="A213" s="1158"/>
      <c r="B213" s="1393"/>
      <c r="C213" s="1458"/>
      <c r="D213" s="1213"/>
      <c r="E213" s="1213"/>
      <c r="F213" s="1458"/>
      <c r="G213" s="1503"/>
      <c r="H213" s="1462"/>
      <c r="I213" s="1465"/>
      <c r="J213" s="1467"/>
      <c r="K213" s="1489"/>
      <c r="L213" s="1491"/>
      <c r="M213" s="1491"/>
      <c r="N213" s="1491"/>
      <c r="O213" s="1493"/>
      <c r="P213" s="1467"/>
      <c r="Q213" s="1475"/>
      <c r="R213" s="1487"/>
      <c r="S213" s="1467"/>
      <c r="T213" s="1467"/>
      <c r="U213" s="1186"/>
      <c r="V213" s="1187"/>
      <c r="W213" s="1188"/>
      <c r="X213" s="1185"/>
      <c r="Y213" s="1110"/>
      <c r="Z213" s="1110"/>
      <c r="AA213" s="1110"/>
      <c r="AB213" s="1110"/>
    </row>
    <row r="214" spans="1:28" ht="13.5" hidden="1" thickBot="1" x14ac:dyDescent="0.25">
      <c r="A214" s="1158"/>
      <c r="B214" s="1394"/>
      <c r="C214" s="1478"/>
      <c r="D214" s="1214"/>
      <c r="E214" s="1214"/>
      <c r="F214" s="1478"/>
      <c r="G214" s="1516"/>
      <c r="H214" s="1480"/>
      <c r="I214" s="1482"/>
      <c r="J214" s="1484"/>
      <c r="K214" s="1499"/>
      <c r="L214" s="1500"/>
      <c r="M214" s="1500"/>
      <c r="N214" s="1500"/>
      <c r="O214" s="1501"/>
      <c r="P214" s="1484"/>
      <c r="Q214" s="1476"/>
      <c r="R214" s="1498"/>
      <c r="S214" s="1484"/>
      <c r="T214" s="1484"/>
      <c r="U214" s="1455" t="s">
        <v>1297</v>
      </c>
      <c r="V214" s="1456"/>
      <c r="W214" s="1457"/>
      <c r="X214" s="1190">
        <v>1</v>
      </c>
      <c r="Y214" s="1110"/>
      <c r="Z214" s="1110"/>
      <c r="AA214" s="1110"/>
      <c r="AB214" s="1110"/>
    </row>
    <row r="215" spans="1:28" ht="13.5" hidden="1" thickBot="1" x14ac:dyDescent="0.25">
      <c r="A215" s="1158"/>
      <c r="B215" s="1119"/>
      <c r="C215" s="1119"/>
      <c r="D215" s="1119"/>
      <c r="E215" s="1119"/>
      <c r="F215" s="1119"/>
      <c r="G215" s="1119"/>
      <c r="H215" s="1119"/>
      <c r="I215" s="1119"/>
      <c r="J215" s="1505" t="s">
        <v>1298</v>
      </c>
      <c r="K215" s="1506"/>
      <c r="L215" s="1506"/>
      <c r="M215" s="1506"/>
      <c r="N215" s="1506"/>
      <c r="O215" s="1506"/>
      <c r="P215" s="1506"/>
      <c r="Q215" s="1506"/>
      <c r="R215" s="1506"/>
      <c r="S215" s="1507"/>
      <c r="T215" s="1215">
        <f>(T185*F185+T190*F190+T195*F195+T200*F200+T205*F205+T210*F210)/(F185+F190+F195+F200+F205+F210)</f>
        <v>1</v>
      </c>
      <c r="U215" s="1455" t="s">
        <v>1299</v>
      </c>
      <c r="V215" s="1456"/>
      <c r="W215" s="1457"/>
      <c r="X215" s="1216">
        <f>(X189*F185+X194*F190+X199*F195+X204*F200+X209*F205+X214*F210)/(F185+F190+F195+F200+F205+F210)</f>
        <v>1</v>
      </c>
      <c r="Y215" s="1110"/>
      <c r="Z215" s="1110"/>
      <c r="AA215" s="1110"/>
      <c r="AB215" s="1110"/>
    </row>
    <row r="216" spans="1:28" ht="13.5" hidden="1" thickBot="1" x14ac:dyDescent="0.25">
      <c r="A216" s="1158"/>
      <c r="B216" s="1159"/>
      <c r="C216" s="1119"/>
      <c r="D216" s="1119"/>
      <c r="E216" s="1119"/>
      <c r="F216" s="1119"/>
      <c r="G216" s="1119"/>
      <c r="H216" s="1119"/>
      <c r="I216" s="1119"/>
      <c r="J216" s="1511" t="s">
        <v>1300</v>
      </c>
      <c r="K216" s="1512"/>
      <c r="L216" s="1512"/>
      <c r="M216" s="1512"/>
      <c r="N216" s="1512"/>
      <c r="O216" s="1512"/>
      <c r="P216" s="1512"/>
      <c r="Q216" s="1512"/>
      <c r="R216" s="1512"/>
      <c r="S216" s="1513"/>
      <c r="T216" s="1514">
        <f>T215*X215</f>
        <v>1</v>
      </c>
      <c r="U216" s="1514"/>
      <c r="V216" s="1514"/>
      <c r="W216" s="1514"/>
      <c r="X216" s="1515"/>
      <c r="Y216" s="1110"/>
      <c r="Z216" s="1110"/>
      <c r="AA216" s="1110"/>
      <c r="AB216" s="1110"/>
    </row>
    <row r="254" spans="1:1" s="1159" customFormat="1" x14ac:dyDescent="0.2">
      <c r="A254" s="1218"/>
    </row>
    <row r="255" spans="1:1" s="1159" customFormat="1" x14ac:dyDescent="0.2">
      <c r="A255" s="1218"/>
    </row>
    <row r="256" spans="1:1" s="1159" customFormat="1" x14ac:dyDescent="0.2">
      <c r="A256" s="1218"/>
    </row>
  </sheetData>
  <mergeCells count="870">
    <mergeCell ref="J215:S215"/>
    <mergeCell ref="U215:W215"/>
    <mergeCell ref="J216:S216"/>
    <mergeCell ref="T216:X216"/>
    <mergeCell ref="T210:T214"/>
    <mergeCell ref="K212:K214"/>
    <mergeCell ref="L212:L214"/>
    <mergeCell ref="M212:M214"/>
    <mergeCell ref="N212:N214"/>
    <mergeCell ref="O212:O214"/>
    <mergeCell ref="N210:N211"/>
    <mergeCell ref="O210:O211"/>
    <mergeCell ref="P210:P214"/>
    <mergeCell ref="Q210:Q214"/>
    <mergeCell ref="R210:R214"/>
    <mergeCell ref="S210:S214"/>
    <mergeCell ref="U209:W209"/>
    <mergeCell ref="C210:C214"/>
    <mergeCell ref="F210:F214"/>
    <mergeCell ref="G210:G214"/>
    <mergeCell ref="H210:H214"/>
    <mergeCell ref="I210:I214"/>
    <mergeCell ref="J210:J214"/>
    <mergeCell ref="K210:K211"/>
    <mergeCell ref="L210:L211"/>
    <mergeCell ref="M210:M211"/>
    <mergeCell ref="T205:T209"/>
    <mergeCell ref="K207:K209"/>
    <mergeCell ref="L207:L209"/>
    <mergeCell ref="M207:M209"/>
    <mergeCell ref="N207:N209"/>
    <mergeCell ref="O207:O209"/>
    <mergeCell ref="N205:N206"/>
    <mergeCell ref="O205:O206"/>
    <mergeCell ref="P205:P209"/>
    <mergeCell ref="Q205:Q209"/>
    <mergeCell ref="R205:R209"/>
    <mergeCell ref="S205:S209"/>
    <mergeCell ref="U214:W214"/>
    <mergeCell ref="R195:R199"/>
    <mergeCell ref="S195:S199"/>
    <mergeCell ref="U204:W204"/>
    <mergeCell ref="C205:C209"/>
    <mergeCell ref="F205:F209"/>
    <mergeCell ref="G205:G209"/>
    <mergeCell ref="H205:H209"/>
    <mergeCell ref="I205:I209"/>
    <mergeCell ref="J205:J209"/>
    <mergeCell ref="K205:K206"/>
    <mergeCell ref="L205:L206"/>
    <mergeCell ref="M205:M206"/>
    <mergeCell ref="T200:T204"/>
    <mergeCell ref="K202:K204"/>
    <mergeCell ref="L202:L204"/>
    <mergeCell ref="M202:M204"/>
    <mergeCell ref="N202:N204"/>
    <mergeCell ref="O202:O204"/>
    <mergeCell ref="N200:N201"/>
    <mergeCell ref="O200:O201"/>
    <mergeCell ref="P200:P204"/>
    <mergeCell ref="Q200:Q204"/>
    <mergeCell ref="R200:R204"/>
    <mergeCell ref="S200:S204"/>
    <mergeCell ref="K197:K199"/>
    <mergeCell ref="L197:L199"/>
    <mergeCell ref="M197:M199"/>
    <mergeCell ref="N197:N199"/>
    <mergeCell ref="O197:O199"/>
    <mergeCell ref="N195:N196"/>
    <mergeCell ref="O195:O196"/>
    <mergeCell ref="P195:P199"/>
    <mergeCell ref="Q195:Q199"/>
    <mergeCell ref="C200:C204"/>
    <mergeCell ref="F200:F204"/>
    <mergeCell ref="G200:G204"/>
    <mergeCell ref="H200:H204"/>
    <mergeCell ref="I200:I204"/>
    <mergeCell ref="J200:J204"/>
    <mergeCell ref="K200:K201"/>
    <mergeCell ref="L200:L201"/>
    <mergeCell ref="M200:M201"/>
    <mergeCell ref="U194:W194"/>
    <mergeCell ref="C195:C199"/>
    <mergeCell ref="F195:F199"/>
    <mergeCell ref="G195:G199"/>
    <mergeCell ref="H195:H199"/>
    <mergeCell ref="I195:I199"/>
    <mergeCell ref="J195:J199"/>
    <mergeCell ref="K195:K196"/>
    <mergeCell ref="L195:L196"/>
    <mergeCell ref="M195:M196"/>
    <mergeCell ref="T190:T194"/>
    <mergeCell ref="K192:K194"/>
    <mergeCell ref="L192:L194"/>
    <mergeCell ref="M192:M194"/>
    <mergeCell ref="N192:N194"/>
    <mergeCell ref="O192:O194"/>
    <mergeCell ref="N190:N191"/>
    <mergeCell ref="O190:O191"/>
    <mergeCell ref="P190:P194"/>
    <mergeCell ref="Q190:Q194"/>
    <mergeCell ref="R190:R194"/>
    <mergeCell ref="S190:S194"/>
    <mergeCell ref="U199:W199"/>
    <mergeCell ref="T195:T199"/>
    <mergeCell ref="U189:W189"/>
    <mergeCell ref="C190:C194"/>
    <mergeCell ref="F190:F194"/>
    <mergeCell ref="G190:G194"/>
    <mergeCell ref="H190:H194"/>
    <mergeCell ref="I190:I194"/>
    <mergeCell ref="J190:J194"/>
    <mergeCell ref="K190:K191"/>
    <mergeCell ref="L190:L191"/>
    <mergeCell ref="M190:M191"/>
    <mergeCell ref="P185:P189"/>
    <mergeCell ref="Q185:Q189"/>
    <mergeCell ref="R185:R189"/>
    <mergeCell ref="S185:S189"/>
    <mergeCell ref="T185:T189"/>
    <mergeCell ref="K187:K189"/>
    <mergeCell ref="L187:L189"/>
    <mergeCell ref="M187:M189"/>
    <mergeCell ref="N187:N189"/>
    <mergeCell ref="O187:O189"/>
    <mergeCell ref="J185:J189"/>
    <mergeCell ref="K185:K186"/>
    <mergeCell ref="L185:L186"/>
    <mergeCell ref="M185:M186"/>
    <mergeCell ref="N185:N186"/>
    <mergeCell ref="O185:O186"/>
    <mergeCell ref="B185:B214"/>
    <mergeCell ref="C185:C189"/>
    <mergeCell ref="F185:F189"/>
    <mergeCell ref="G185:G189"/>
    <mergeCell ref="H185:H189"/>
    <mergeCell ref="I185:I189"/>
    <mergeCell ref="U178:W178"/>
    <mergeCell ref="J179:S179"/>
    <mergeCell ref="U179:W179"/>
    <mergeCell ref="J180:S180"/>
    <mergeCell ref="T180:X180"/>
    <mergeCell ref="G183:T183"/>
    <mergeCell ref="U183:X183"/>
    <mergeCell ref="R174:R178"/>
    <mergeCell ref="S174:S178"/>
    <mergeCell ref="T174:T178"/>
    <mergeCell ref="K176:K178"/>
    <mergeCell ref="L176:L178"/>
    <mergeCell ref="M176:M178"/>
    <mergeCell ref="N176:N178"/>
    <mergeCell ref="O176:O178"/>
    <mergeCell ref="L174:L175"/>
    <mergeCell ref="M174:M175"/>
    <mergeCell ref="N174:N175"/>
    <mergeCell ref="O174:O175"/>
    <mergeCell ref="P174:P178"/>
    <mergeCell ref="Q174:Q178"/>
    <mergeCell ref="U173:W173"/>
    <mergeCell ref="C174:C178"/>
    <mergeCell ref="D174:D178"/>
    <mergeCell ref="E174:E178"/>
    <mergeCell ref="F174:F178"/>
    <mergeCell ref="G174:G178"/>
    <mergeCell ref="H174:H178"/>
    <mergeCell ref="I174:I178"/>
    <mergeCell ref="J174:J178"/>
    <mergeCell ref="K174:K175"/>
    <mergeCell ref="R169:R173"/>
    <mergeCell ref="S169:S173"/>
    <mergeCell ref="T169:T173"/>
    <mergeCell ref="K171:K173"/>
    <mergeCell ref="L171:L173"/>
    <mergeCell ref="M171:M173"/>
    <mergeCell ref="N171:N173"/>
    <mergeCell ref="O171:O173"/>
    <mergeCell ref="L169:L170"/>
    <mergeCell ref="M169:M170"/>
    <mergeCell ref="N169:N170"/>
    <mergeCell ref="O169:O170"/>
    <mergeCell ref="P169:P173"/>
    <mergeCell ref="Q169:Q173"/>
    <mergeCell ref="U168:W168"/>
    <mergeCell ref="C169:C173"/>
    <mergeCell ref="D169:D173"/>
    <mergeCell ref="E169:E173"/>
    <mergeCell ref="F169:F173"/>
    <mergeCell ref="G169:G173"/>
    <mergeCell ref="H169:H173"/>
    <mergeCell ref="I169:I173"/>
    <mergeCell ref="J169:J173"/>
    <mergeCell ref="K169:K170"/>
    <mergeCell ref="R164:R168"/>
    <mergeCell ref="S164:S168"/>
    <mergeCell ref="T164:T168"/>
    <mergeCell ref="K166:K168"/>
    <mergeCell ref="L166:L168"/>
    <mergeCell ref="M166:M168"/>
    <mergeCell ref="N166:N168"/>
    <mergeCell ref="O166:O168"/>
    <mergeCell ref="L164:L165"/>
    <mergeCell ref="M164:M165"/>
    <mergeCell ref="N164:N165"/>
    <mergeCell ref="O164:O165"/>
    <mergeCell ref="P164:P168"/>
    <mergeCell ref="Q164:Q168"/>
    <mergeCell ref="U163:W163"/>
    <mergeCell ref="C164:C168"/>
    <mergeCell ref="D164:D168"/>
    <mergeCell ref="E164:E168"/>
    <mergeCell ref="F164:F168"/>
    <mergeCell ref="G164:G168"/>
    <mergeCell ref="H164:H168"/>
    <mergeCell ref="I164:I168"/>
    <mergeCell ref="J164:J168"/>
    <mergeCell ref="K164:K165"/>
    <mergeCell ref="R159:R163"/>
    <mergeCell ref="S159:S163"/>
    <mergeCell ref="T159:T163"/>
    <mergeCell ref="K161:K163"/>
    <mergeCell ref="L161:L163"/>
    <mergeCell ref="M161:M163"/>
    <mergeCell ref="N161:N163"/>
    <mergeCell ref="O161:O163"/>
    <mergeCell ref="L159:L160"/>
    <mergeCell ref="M159:M160"/>
    <mergeCell ref="N159:N160"/>
    <mergeCell ref="O159:O160"/>
    <mergeCell ref="P159:P163"/>
    <mergeCell ref="Q159:Q163"/>
    <mergeCell ref="U158:W158"/>
    <mergeCell ref="C159:C163"/>
    <mergeCell ref="D159:D163"/>
    <mergeCell ref="E159:E163"/>
    <mergeCell ref="F159:F163"/>
    <mergeCell ref="G159:G163"/>
    <mergeCell ref="H159:H163"/>
    <mergeCell ref="I159:I163"/>
    <mergeCell ref="J159:J163"/>
    <mergeCell ref="K159:K160"/>
    <mergeCell ref="R154:R158"/>
    <mergeCell ref="S154:S158"/>
    <mergeCell ref="T154:T158"/>
    <mergeCell ref="K156:K158"/>
    <mergeCell ref="L156:L158"/>
    <mergeCell ref="M156:M158"/>
    <mergeCell ref="N156:N158"/>
    <mergeCell ref="O156:O158"/>
    <mergeCell ref="L154:L155"/>
    <mergeCell ref="M154:M155"/>
    <mergeCell ref="N154:N155"/>
    <mergeCell ref="O154:O155"/>
    <mergeCell ref="P154:P158"/>
    <mergeCell ref="Q154:Q158"/>
    <mergeCell ref="U153:W153"/>
    <mergeCell ref="C154:C158"/>
    <mergeCell ref="D154:D158"/>
    <mergeCell ref="E154:E158"/>
    <mergeCell ref="F154:F158"/>
    <mergeCell ref="G154:G158"/>
    <mergeCell ref="H154:H158"/>
    <mergeCell ref="I154:I158"/>
    <mergeCell ref="J154:J158"/>
    <mergeCell ref="K154:K155"/>
    <mergeCell ref="T149:T153"/>
    <mergeCell ref="K151:K153"/>
    <mergeCell ref="L151:L153"/>
    <mergeCell ref="M151:M153"/>
    <mergeCell ref="N151:N153"/>
    <mergeCell ref="O151:O153"/>
    <mergeCell ref="N149:N150"/>
    <mergeCell ref="O149:O150"/>
    <mergeCell ref="P149:P153"/>
    <mergeCell ref="Q149:Q153"/>
    <mergeCell ref="R149:R153"/>
    <mergeCell ref="S149:S153"/>
    <mergeCell ref="H149:H153"/>
    <mergeCell ref="I149:I153"/>
    <mergeCell ref="J149:J153"/>
    <mergeCell ref="K149:K150"/>
    <mergeCell ref="L149:L150"/>
    <mergeCell ref="M149:M150"/>
    <mergeCell ref="B149:B178"/>
    <mergeCell ref="C149:C153"/>
    <mergeCell ref="D149:D153"/>
    <mergeCell ref="E149:E153"/>
    <mergeCell ref="F149:F153"/>
    <mergeCell ref="G149:G153"/>
    <mergeCell ref="U142:W142"/>
    <mergeCell ref="J143:S143"/>
    <mergeCell ref="U143:W143"/>
    <mergeCell ref="J144:S144"/>
    <mergeCell ref="T144:X144"/>
    <mergeCell ref="G147:T147"/>
    <mergeCell ref="U147:X147"/>
    <mergeCell ref="T138:T142"/>
    <mergeCell ref="K140:K142"/>
    <mergeCell ref="L140:L142"/>
    <mergeCell ref="M140:M142"/>
    <mergeCell ref="N140:N142"/>
    <mergeCell ref="O140:O142"/>
    <mergeCell ref="N138:N139"/>
    <mergeCell ref="O138:O139"/>
    <mergeCell ref="P138:P142"/>
    <mergeCell ref="Q138:Q142"/>
    <mergeCell ref="R138:R142"/>
    <mergeCell ref="S138:S142"/>
    <mergeCell ref="U137:W137"/>
    <mergeCell ref="C138:C142"/>
    <mergeCell ref="F138:F142"/>
    <mergeCell ref="G138:G142"/>
    <mergeCell ref="H138:H142"/>
    <mergeCell ref="I138:I142"/>
    <mergeCell ref="J138:J142"/>
    <mergeCell ref="K138:K139"/>
    <mergeCell ref="L138:L139"/>
    <mergeCell ref="M138:M139"/>
    <mergeCell ref="T133:T137"/>
    <mergeCell ref="K135:K137"/>
    <mergeCell ref="L135:L137"/>
    <mergeCell ref="M135:M137"/>
    <mergeCell ref="N135:N137"/>
    <mergeCell ref="O135:O137"/>
    <mergeCell ref="N133:N134"/>
    <mergeCell ref="O133:O134"/>
    <mergeCell ref="P133:P137"/>
    <mergeCell ref="Q133:Q137"/>
    <mergeCell ref="R133:R137"/>
    <mergeCell ref="S133:S137"/>
    <mergeCell ref="R123:R127"/>
    <mergeCell ref="S123:S127"/>
    <mergeCell ref="U132:W132"/>
    <mergeCell ref="C133:C137"/>
    <mergeCell ref="F133:F137"/>
    <mergeCell ref="G133:G137"/>
    <mergeCell ref="H133:H137"/>
    <mergeCell ref="I133:I137"/>
    <mergeCell ref="J133:J137"/>
    <mergeCell ref="K133:K134"/>
    <mergeCell ref="L133:L134"/>
    <mergeCell ref="M133:M134"/>
    <mergeCell ref="T128:T132"/>
    <mergeCell ref="K130:K132"/>
    <mergeCell ref="L130:L132"/>
    <mergeCell ref="M130:M132"/>
    <mergeCell ref="N130:N132"/>
    <mergeCell ref="O130:O132"/>
    <mergeCell ref="N128:N129"/>
    <mergeCell ref="O128:O129"/>
    <mergeCell ref="P128:P132"/>
    <mergeCell ref="Q128:Q132"/>
    <mergeCell ref="R128:R132"/>
    <mergeCell ref="S128:S132"/>
    <mergeCell ref="K125:K127"/>
    <mergeCell ref="L125:L127"/>
    <mergeCell ref="M125:M127"/>
    <mergeCell ref="N125:N127"/>
    <mergeCell ref="O125:O127"/>
    <mergeCell ref="N123:N124"/>
    <mergeCell ref="O123:O124"/>
    <mergeCell ref="P123:P127"/>
    <mergeCell ref="Q123:Q127"/>
    <mergeCell ref="C128:C132"/>
    <mergeCell ref="F128:F132"/>
    <mergeCell ref="G128:G132"/>
    <mergeCell ref="H128:H132"/>
    <mergeCell ref="I128:I132"/>
    <mergeCell ref="J128:J132"/>
    <mergeCell ref="K128:K129"/>
    <mergeCell ref="L128:L129"/>
    <mergeCell ref="M128:M129"/>
    <mergeCell ref="U122:W122"/>
    <mergeCell ref="C123:C127"/>
    <mergeCell ref="F123:F127"/>
    <mergeCell ref="G123:G127"/>
    <mergeCell ref="H123:H127"/>
    <mergeCell ref="I123:I127"/>
    <mergeCell ref="J123:J127"/>
    <mergeCell ref="K123:K124"/>
    <mergeCell ref="L123:L124"/>
    <mergeCell ref="M123:M124"/>
    <mergeCell ref="T118:T122"/>
    <mergeCell ref="K120:K122"/>
    <mergeCell ref="L120:L122"/>
    <mergeCell ref="M120:M122"/>
    <mergeCell ref="N120:N122"/>
    <mergeCell ref="O120:O122"/>
    <mergeCell ref="N118:N119"/>
    <mergeCell ref="O118:O119"/>
    <mergeCell ref="P118:P122"/>
    <mergeCell ref="Q118:Q122"/>
    <mergeCell ref="R118:R122"/>
    <mergeCell ref="S118:S122"/>
    <mergeCell ref="U127:W127"/>
    <mergeCell ref="T123:T127"/>
    <mergeCell ref="U117:W117"/>
    <mergeCell ref="C118:C122"/>
    <mergeCell ref="F118:F122"/>
    <mergeCell ref="G118:G122"/>
    <mergeCell ref="H118:H122"/>
    <mergeCell ref="I118:I122"/>
    <mergeCell ref="J118:J122"/>
    <mergeCell ref="K118:K119"/>
    <mergeCell ref="L118:L119"/>
    <mergeCell ref="M118:M119"/>
    <mergeCell ref="P113:P117"/>
    <mergeCell ref="Q113:Q117"/>
    <mergeCell ref="R113:R117"/>
    <mergeCell ref="S113:S117"/>
    <mergeCell ref="T113:T117"/>
    <mergeCell ref="K115:K117"/>
    <mergeCell ref="L115:L117"/>
    <mergeCell ref="M115:M117"/>
    <mergeCell ref="N115:N117"/>
    <mergeCell ref="O115:O117"/>
    <mergeCell ref="J113:J117"/>
    <mergeCell ref="K113:K114"/>
    <mergeCell ref="L113:L114"/>
    <mergeCell ref="M113:M114"/>
    <mergeCell ref="N113:N114"/>
    <mergeCell ref="O113:O114"/>
    <mergeCell ref="B113:B142"/>
    <mergeCell ref="C113:C117"/>
    <mergeCell ref="F113:F117"/>
    <mergeCell ref="G113:G117"/>
    <mergeCell ref="H113:H117"/>
    <mergeCell ref="I113:I117"/>
    <mergeCell ref="U106:W106"/>
    <mergeCell ref="J107:S107"/>
    <mergeCell ref="U107:W107"/>
    <mergeCell ref="J108:S108"/>
    <mergeCell ref="T108:X108"/>
    <mergeCell ref="G111:T111"/>
    <mergeCell ref="U111:X111"/>
    <mergeCell ref="R102:R106"/>
    <mergeCell ref="S102:S106"/>
    <mergeCell ref="T102:T106"/>
    <mergeCell ref="K104:K106"/>
    <mergeCell ref="L104:L106"/>
    <mergeCell ref="M104:M106"/>
    <mergeCell ref="N104:N106"/>
    <mergeCell ref="O104:O106"/>
    <mergeCell ref="L102:L103"/>
    <mergeCell ref="M102:M103"/>
    <mergeCell ref="N102:N103"/>
    <mergeCell ref="O102:O103"/>
    <mergeCell ref="P102:P106"/>
    <mergeCell ref="Q102:Q106"/>
    <mergeCell ref="U101:W101"/>
    <mergeCell ref="C102:C106"/>
    <mergeCell ref="D102:D106"/>
    <mergeCell ref="E102:E106"/>
    <mergeCell ref="F102:F106"/>
    <mergeCell ref="G102:G106"/>
    <mergeCell ref="H102:H106"/>
    <mergeCell ref="I102:I106"/>
    <mergeCell ref="J102:J106"/>
    <mergeCell ref="K102:K103"/>
    <mergeCell ref="R97:R101"/>
    <mergeCell ref="S97:S101"/>
    <mergeCell ref="T97:T101"/>
    <mergeCell ref="K99:K101"/>
    <mergeCell ref="L99:L101"/>
    <mergeCell ref="M99:M101"/>
    <mergeCell ref="N99:N101"/>
    <mergeCell ref="O99:O101"/>
    <mergeCell ref="L97:L98"/>
    <mergeCell ref="M97:M98"/>
    <mergeCell ref="N97:N98"/>
    <mergeCell ref="O97:O98"/>
    <mergeCell ref="P97:P101"/>
    <mergeCell ref="Q97:Q101"/>
    <mergeCell ref="U96:W96"/>
    <mergeCell ref="C97:C101"/>
    <mergeCell ref="D97:D101"/>
    <mergeCell ref="E97:E101"/>
    <mergeCell ref="F97:F101"/>
    <mergeCell ref="G97:G101"/>
    <mergeCell ref="H97:H101"/>
    <mergeCell ref="I97:I101"/>
    <mergeCell ref="J97:J101"/>
    <mergeCell ref="K97:K98"/>
    <mergeCell ref="R92:R96"/>
    <mergeCell ref="S92:S96"/>
    <mergeCell ref="T92:T96"/>
    <mergeCell ref="K94:K96"/>
    <mergeCell ref="L94:L96"/>
    <mergeCell ref="M94:M96"/>
    <mergeCell ref="N94:N96"/>
    <mergeCell ref="O94:O96"/>
    <mergeCell ref="L92:L93"/>
    <mergeCell ref="M92:M93"/>
    <mergeCell ref="N92:N93"/>
    <mergeCell ref="O92:O93"/>
    <mergeCell ref="P92:P96"/>
    <mergeCell ref="Q92:Q96"/>
    <mergeCell ref="U91:W91"/>
    <mergeCell ref="C92:C96"/>
    <mergeCell ref="D92:D96"/>
    <mergeCell ref="E92:E96"/>
    <mergeCell ref="F92:F96"/>
    <mergeCell ref="G92:G96"/>
    <mergeCell ref="H92:H96"/>
    <mergeCell ref="I92:I96"/>
    <mergeCell ref="J92:J96"/>
    <mergeCell ref="K92:K93"/>
    <mergeCell ref="R87:R91"/>
    <mergeCell ref="S87:S91"/>
    <mergeCell ref="T87:T91"/>
    <mergeCell ref="K89:K91"/>
    <mergeCell ref="L89:L91"/>
    <mergeCell ref="M89:M91"/>
    <mergeCell ref="N89:N91"/>
    <mergeCell ref="O89:O91"/>
    <mergeCell ref="L87:L88"/>
    <mergeCell ref="M87:M88"/>
    <mergeCell ref="N87:N88"/>
    <mergeCell ref="O87:O88"/>
    <mergeCell ref="P87:P91"/>
    <mergeCell ref="Q87:Q91"/>
    <mergeCell ref="U86:W86"/>
    <mergeCell ref="C87:C91"/>
    <mergeCell ref="D87:D91"/>
    <mergeCell ref="E87:E91"/>
    <mergeCell ref="F87:F91"/>
    <mergeCell ref="G87:G91"/>
    <mergeCell ref="H87:H91"/>
    <mergeCell ref="I87:I91"/>
    <mergeCell ref="J87:J91"/>
    <mergeCell ref="K87:K88"/>
    <mergeCell ref="R82:R86"/>
    <mergeCell ref="S82:S86"/>
    <mergeCell ref="T82:T86"/>
    <mergeCell ref="K84:K86"/>
    <mergeCell ref="L84:L86"/>
    <mergeCell ref="M84:M86"/>
    <mergeCell ref="N84:N86"/>
    <mergeCell ref="O84:O86"/>
    <mergeCell ref="L82:L83"/>
    <mergeCell ref="M82:M83"/>
    <mergeCell ref="N82:N83"/>
    <mergeCell ref="O82:O83"/>
    <mergeCell ref="P82:P86"/>
    <mergeCell ref="Q82:Q86"/>
    <mergeCell ref="U81:W81"/>
    <mergeCell ref="C82:C86"/>
    <mergeCell ref="D82:D86"/>
    <mergeCell ref="E82:E86"/>
    <mergeCell ref="F82:F86"/>
    <mergeCell ref="G82:G86"/>
    <mergeCell ref="H82:H86"/>
    <mergeCell ref="I82:I86"/>
    <mergeCell ref="J82:J86"/>
    <mergeCell ref="K82:K83"/>
    <mergeCell ref="T77:T81"/>
    <mergeCell ref="K79:K81"/>
    <mergeCell ref="L79:L81"/>
    <mergeCell ref="M79:M81"/>
    <mergeCell ref="N79:N81"/>
    <mergeCell ref="O79:O81"/>
    <mergeCell ref="N77:N78"/>
    <mergeCell ref="O77:O78"/>
    <mergeCell ref="P77:P81"/>
    <mergeCell ref="Q77:Q81"/>
    <mergeCell ref="R77:R81"/>
    <mergeCell ref="S77:S81"/>
    <mergeCell ref="H77:H81"/>
    <mergeCell ref="I77:I81"/>
    <mergeCell ref="J77:J81"/>
    <mergeCell ref="K77:K78"/>
    <mergeCell ref="L77:L78"/>
    <mergeCell ref="M77:M78"/>
    <mergeCell ref="B77:B106"/>
    <mergeCell ref="C77:C81"/>
    <mergeCell ref="D77:D81"/>
    <mergeCell ref="E77:E81"/>
    <mergeCell ref="F77:F81"/>
    <mergeCell ref="G77:G81"/>
    <mergeCell ref="U70:W70"/>
    <mergeCell ref="J71:S71"/>
    <mergeCell ref="U71:W71"/>
    <mergeCell ref="J72:S72"/>
    <mergeCell ref="T72:X72"/>
    <mergeCell ref="G75:T75"/>
    <mergeCell ref="U75:X75"/>
    <mergeCell ref="T66:T70"/>
    <mergeCell ref="K68:K70"/>
    <mergeCell ref="L68:L70"/>
    <mergeCell ref="M68:M70"/>
    <mergeCell ref="N68:N70"/>
    <mergeCell ref="O68:O70"/>
    <mergeCell ref="N66:N67"/>
    <mergeCell ref="O66:O67"/>
    <mergeCell ref="P66:P70"/>
    <mergeCell ref="Q66:Q70"/>
    <mergeCell ref="R66:R70"/>
    <mergeCell ref="S66:S70"/>
    <mergeCell ref="U65:W65"/>
    <mergeCell ref="C66:C70"/>
    <mergeCell ref="F66:F70"/>
    <mergeCell ref="G66:G70"/>
    <mergeCell ref="H66:H70"/>
    <mergeCell ref="I66:I70"/>
    <mergeCell ref="J66:J70"/>
    <mergeCell ref="K66:K67"/>
    <mergeCell ref="L66:L67"/>
    <mergeCell ref="M66:M67"/>
    <mergeCell ref="T61:T65"/>
    <mergeCell ref="K63:K65"/>
    <mergeCell ref="L63:L65"/>
    <mergeCell ref="M63:M65"/>
    <mergeCell ref="N63:N65"/>
    <mergeCell ref="O63:O65"/>
    <mergeCell ref="N61:N62"/>
    <mergeCell ref="O61:O62"/>
    <mergeCell ref="P61:P65"/>
    <mergeCell ref="Q61:Q65"/>
    <mergeCell ref="R61:R65"/>
    <mergeCell ref="S61:S65"/>
    <mergeCell ref="R51:R55"/>
    <mergeCell ref="S51:S55"/>
    <mergeCell ref="U60:W60"/>
    <mergeCell ref="C61:C65"/>
    <mergeCell ref="F61:F65"/>
    <mergeCell ref="G61:G65"/>
    <mergeCell ref="H61:H65"/>
    <mergeCell ref="I61:I65"/>
    <mergeCell ref="J61:J65"/>
    <mergeCell ref="K61:K62"/>
    <mergeCell ref="L61:L62"/>
    <mergeCell ref="M61:M62"/>
    <mergeCell ref="T56:T60"/>
    <mergeCell ref="K58:K60"/>
    <mergeCell ref="L58:L60"/>
    <mergeCell ref="M58:M60"/>
    <mergeCell ref="N58:N60"/>
    <mergeCell ref="O58:O60"/>
    <mergeCell ref="N56:N57"/>
    <mergeCell ref="O56:O57"/>
    <mergeCell ref="P56:P60"/>
    <mergeCell ref="Q56:Q60"/>
    <mergeCell ref="R56:R60"/>
    <mergeCell ref="S56:S60"/>
    <mergeCell ref="K53:K55"/>
    <mergeCell ref="L53:L55"/>
    <mergeCell ref="M53:M55"/>
    <mergeCell ref="N53:N55"/>
    <mergeCell ref="O53:O55"/>
    <mergeCell ref="N51:N52"/>
    <mergeCell ref="O51:O52"/>
    <mergeCell ref="P51:P55"/>
    <mergeCell ref="Q51:Q55"/>
    <mergeCell ref="C56:C60"/>
    <mergeCell ref="F56:F60"/>
    <mergeCell ref="G56:G60"/>
    <mergeCell ref="H56:H60"/>
    <mergeCell ref="I56:I60"/>
    <mergeCell ref="J56:J60"/>
    <mergeCell ref="K56:K57"/>
    <mergeCell ref="L56:L57"/>
    <mergeCell ref="M56:M57"/>
    <mergeCell ref="U50:W50"/>
    <mergeCell ref="C51:C55"/>
    <mergeCell ref="F51:F55"/>
    <mergeCell ref="G51:G55"/>
    <mergeCell ref="H51:H55"/>
    <mergeCell ref="I51:I55"/>
    <mergeCell ref="J51:J55"/>
    <mergeCell ref="K51:K52"/>
    <mergeCell ref="L51:L52"/>
    <mergeCell ref="M51:M52"/>
    <mergeCell ref="T46:T50"/>
    <mergeCell ref="K48:K50"/>
    <mergeCell ref="L48:L50"/>
    <mergeCell ref="M48:M50"/>
    <mergeCell ref="N48:N50"/>
    <mergeCell ref="O48:O50"/>
    <mergeCell ref="N46:N47"/>
    <mergeCell ref="O46:O47"/>
    <mergeCell ref="P46:P50"/>
    <mergeCell ref="Q46:Q50"/>
    <mergeCell ref="R46:R50"/>
    <mergeCell ref="S46:S50"/>
    <mergeCell ref="U55:W55"/>
    <mergeCell ref="T51:T55"/>
    <mergeCell ref="U45:W45"/>
    <mergeCell ref="C46:C50"/>
    <mergeCell ref="F46:F50"/>
    <mergeCell ref="G46:G50"/>
    <mergeCell ref="H46:H50"/>
    <mergeCell ref="I46:I50"/>
    <mergeCell ref="J46:J50"/>
    <mergeCell ref="K46:K47"/>
    <mergeCell ref="L46:L47"/>
    <mergeCell ref="M46:M47"/>
    <mergeCell ref="P41:P45"/>
    <mergeCell ref="Q41:Q45"/>
    <mergeCell ref="R41:R45"/>
    <mergeCell ref="S41:S45"/>
    <mergeCell ref="T41:T45"/>
    <mergeCell ref="K43:K45"/>
    <mergeCell ref="L43:L45"/>
    <mergeCell ref="M43:M45"/>
    <mergeCell ref="N43:N45"/>
    <mergeCell ref="O43:O45"/>
    <mergeCell ref="J41:J45"/>
    <mergeCell ref="K41:K42"/>
    <mergeCell ref="L41:L42"/>
    <mergeCell ref="M41:M42"/>
    <mergeCell ref="N41:N42"/>
    <mergeCell ref="O41:O42"/>
    <mergeCell ref="B41:B70"/>
    <mergeCell ref="C41:C45"/>
    <mergeCell ref="F41:F45"/>
    <mergeCell ref="G41:G45"/>
    <mergeCell ref="H41:H45"/>
    <mergeCell ref="I41:I45"/>
    <mergeCell ref="U34:W34"/>
    <mergeCell ref="J35:S35"/>
    <mergeCell ref="U35:W35"/>
    <mergeCell ref="J36:S36"/>
    <mergeCell ref="T36:X36"/>
    <mergeCell ref="G39:T39"/>
    <mergeCell ref="U39:X39"/>
    <mergeCell ref="R30:R34"/>
    <mergeCell ref="S30:S34"/>
    <mergeCell ref="T30:T34"/>
    <mergeCell ref="K32:K34"/>
    <mergeCell ref="L32:L34"/>
    <mergeCell ref="M32:M34"/>
    <mergeCell ref="N32:N34"/>
    <mergeCell ref="O32:O34"/>
    <mergeCell ref="L30:L31"/>
    <mergeCell ref="M30:M31"/>
    <mergeCell ref="N30:N31"/>
    <mergeCell ref="O30:O31"/>
    <mergeCell ref="P30:P34"/>
    <mergeCell ref="Q30:Q34"/>
    <mergeCell ref="U29:W29"/>
    <mergeCell ref="C30:C34"/>
    <mergeCell ref="D30:D34"/>
    <mergeCell ref="E30:E34"/>
    <mergeCell ref="F30:F34"/>
    <mergeCell ref="G30:G34"/>
    <mergeCell ref="H30:H34"/>
    <mergeCell ref="I30:I34"/>
    <mergeCell ref="J30:J34"/>
    <mergeCell ref="K30:K31"/>
    <mergeCell ref="R25:R29"/>
    <mergeCell ref="S25:S29"/>
    <mergeCell ref="T25:T29"/>
    <mergeCell ref="K27:K29"/>
    <mergeCell ref="L27:L29"/>
    <mergeCell ref="M27:M29"/>
    <mergeCell ref="N27:N29"/>
    <mergeCell ref="O27:O29"/>
    <mergeCell ref="L25:L26"/>
    <mergeCell ref="N25:N26"/>
    <mergeCell ref="O25:O26"/>
    <mergeCell ref="P25:P29"/>
    <mergeCell ref="Q25:Q29"/>
    <mergeCell ref="U24:W24"/>
    <mergeCell ref="C25:C29"/>
    <mergeCell ref="D25:D29"/>
    <mergeCell ref="E25:E29"/>
    <mergeCell ref="F25:F29"/>
    <mergeCell ref="G25:G29"/>
    <mergeCell ref="H25:H29"/>
    <mergeCell ref="I25:I29"/>
    <mergeCell ref="J25:J29"/>
    <mergeCell ref="K25:K26"/>
    <mergeCell ref="R20:R24"/>
    <mergeCell ref="S20:S24"/>
    <mergeCell ref="T20:T24"/>
    <mergeCell ref="K22:K24"/>
    <mergeCell ref="L22:L24"/>
    <mergeCell ref="M22:M24"/>
    <mergeCell ref="N22:N24"/>
    <mergeCell ref="O22:O24"/>
    <mergeCell ref="L20:L21"/>
    <mergeCell ref="P20:P24"/>
    <mergeCell ref="Q20:Q24"/>
    <mergeCell ref="U19:W19"/>
    <mergeCell ref="C20:C24"/>
    <mergeCell ref="D20:D24"/>
    <mergeCell ref="E20:E24"/>
    <mergeCell ref="F20:F24"/>
    <mergeCell ref="G20:G24"/>
    <mergeCell ref="H20:H24"/>
    <mergeCell ref="I20:I24"/>
    <mergeCell ref="J20:J24"/>
    <mergeCell ref="K20:K21"/>
    <mergeCell ref="R15:R19"/>
    <mergeCell ref="S15:S19"/>
    <mergeCell ref="T15:T19"/>
    <mergeCell ref="K17:K19"/>
    <mergeCell ref="L17:L19"/>
    <mergeCell ref="M17:M19"/>
    <mergeCell ref="N17:N19"/>
    <mergeCell ref="O17:O19"/>
    <mergeCell ref="L15:L16"/>
    <mergeCell ref="P15:P19"/>
    <mergeCell ref="Q15:Q19"/>
    <mergeCell ref="U14:W14"/>
    <mergeCell ref="C15:C19"/>
    <mergeCell ref="D15:D19"/>
    <mergeCell ref="E15:E19"/>
    <mergeCell ref="F15:F19"/>
    <mergeCell ref="G15:G19"/>
    <mergeCell ref="H15:H19"/>
    <mergeCell ref="I15:I19"/>
    <mergeCell ref="J15:J19"/>
    <mergeCell ref="K15:K16"/>
    <mergeCell ref="R10:R14"/>
    <mergeCell ref="S10:S14"/>
    <mergeCell ref="T10:T14"/>
    <mergeCell ref="K12:K14"/>
    <mergeCell ref="L12:L14"/>
    <mergeCell ref="M12:M14"/>
    <mergeCell ref="N12:N14"/>
    <mergeCell ref="O12:O14"/>
    <mergeCell ref="L10:L11"/>
    <mergeCell ref="G3:T3"/>
    <mergeCell ref="U3:X3"/>
    <mergeCell ref="M10:M11"/>
    <mergeCell ref="N10:N11"/>
    <mergeCell ref="O10:O11"/>
    <mergeCell ref="P10:P14"/>
    <mergeCell ref="Q10:Q14"/>
    <mergeCell ref="U9:W9"/>
    <mergeCell ref="C10:C14"/>
    <mergeCell ref="D10:D14"/>
    <mergeCell ref="E10:E14"/>
    <mergeCell ref="F10:F14"/>
    <mergeCell ref="G10:G14"/>
    <mergeCell ref="H10:H14"/>
    <mergeCell ref="I10:I14"/>
    <mergeCell ref="J10:J14"/>
    <mergeCell ref="K10:K11"/>
    <mergeCell ref="P5:P9"/>
    <mergeCell ref="Q5:Q9"/>
    <mergeCell ref="R5:R9"/>
    <mergeCell ref="S5:S9"/>
    <mergeCell ref="T5:T9"/>
    <mergeCell ref="K7:K9"/>
    <mergeCell ref="L7:L9"/>
    <mergeCell ref="B5:B34"/>
    <mergeCell ref="C5:C9"/>
    <mergeCell ref="D5:D9"/>
    <mergeCell ref="E5:E9"/>
    <mergeCell ref="F5:F9"/>
    <mergeCell ref="G5:G9"/>
    <mergeCell ref="H5:H9"/>
    <mergeCell ref="I5:I9"/>
    <mergeCell ref="O7:O9"/>
    <mergeCell ref="J5:J9"/>
    <mergeCell ref="K5:K6"/>
    <mergeCell ref="L5:L6"/>
    <mergeCell ref="M5:M6"/>
    <mergeCell ref="N5:N6"/>
    <mergeCell ref="O5:O6"/>
    <mergeCell ref="M7:M9"/>
    <mergeCell ref="N7:N9"/>
    <mergeCell ref="M15:M16"/>
    <mergeCell ref="N15:N16"/>
    <mergeCell ref="O15:O16"/>
    <mergeCell ref="M20:M21"/>
    <mergeCell ref="N20:N21"/>
    <mergeCell ref="O20:O21"/>
    <mergeCell ref="M25:M26"/>
  </mergeCells>
  <phoneticPr fontId="25" type="noConversion"/>
  <pageMargins left="0.75" right="0.75" top="1" bottom="1" header="0" footer="0"/>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tabColor indexed="22"/>
    <pageSetUpPr autoPageBreaks="0"/>
  </sheetPr>
  <dimension ref="D1:L29"/>
  <sheetViews>
    <sheetView showGridLines="0" workbookViewId="0">
      <selection activeCell="G42" sqref="G42"/>
    </sheetView>
  </sheetViews>
  <sheetFormatPr baseColWidth="10" defaultRowHeight="12.75" x14ac:dyDescent="0.2"/>
  <sheetData>
    <row r="1" spans="4:12" ht="15" x14ac:dyDescent="0.25">
      <c r="D1" s="187"/>
      <c r="E1" s="1037"/>
      <c r="F1" s="187"/>
      <c r="G1" s="187"/>
      <c r="H1" s="1037"/>
      <c r="J1" s="1124"/>
      <c r="K1" s="1125"/>
      <c r="L1" s="1124"/>
    </row>
    <row r="2" spans="4:12" ht="15" x14ac:dyDescent="0.25">
      <c r="D2" s="1038"/>
      <c r="E2" s="187"/>
      <c r="F2" s="187"/>
      <c r="G2" s="187"/>
      <c r="H2" s="1037"/>
      <c r="J2" s="1126"/>
      <c r="K2" s="1125"/>
      <c r="L2" s="1124"/>
    </row>
    <row r="3" spans="4:12" ht="15" x14ac:dyDescent="0.25">
      <c r="D3" s="1038"/>
      <c r="E3" s="187"/>
      <c r="F3" s="187"/>
      <c r="G3" s="187"/>
      <c r="H3" s="1037"/>
      <c r="J3" s="1126"/>
      <c r="K3" s="1125"/>
      <c r="L3" s="1124"/>
    </row>
    <row r="4" spans="4:12" ht="15" x14ac:dyDescent="0.25">
      <c r="D4" s="1038"/>
      <c r="E4" s="187"/>
      <c r="F4" s="187"/>
      <c r="G4" s="187"/>
      <c r="H4" s="1037"/>
      <c r="J4" s="1126"/>
      <c r="K4" s="1125"/>
      <c r="L4" s="1124"/>
    </row>
    <row r="5" spans="4:12" ht="15" x14ac:dyDescent="0.25">
      <c r="D5" s="1038"/>
      <c r="G5" s="187"/>
      <c r="H5" s="1037"/>
      <c r="J5" s="1126"/>
      <c r="K5" s="1125"/>
      <c r="L5" s="1127"/>
    </row>
    <row r="6" spans="4:12" ht="15" x14ac:dyDescent="0.25">
      <c r="D6" s="187"/>
      <c r="E6" s="187"/>
      <c r="F6" s="187"/>
      <c r="G6" s="187"/>
      <c r="H6" s="1037"/>
      <c r="J6" s="1126"/>
      <c r="K6" s="1125"/>
      <c r="L6" s="1124"/>
    </row>
    <row r="7" spans="4:12" ht="15" x14ac:dyDescent="0.25">
      <c r="D7" s="1038"/>
      <c r="E7" s="187"/>
      <c r="F7" s="187"/>
      <c r="G7" s="187"/>
      <c r="H7" s="1037"/>
      <c r="J7" s="1126"/>
      <c r="K7" s="1125"/>
      <c r="L7" s="1124"/>
    </row>
    <row r="8" spans="4:12" x14ac:dyDescent="0.2">
      <c r="D8" s="1038"/>
      <c r="E8" s="187"/>
      <c r="F8" s="187"/>
      <c r="G8" s="187"/>
      <c r="H8" s="187"/>
      <c r="J8" s="1128"/>
      <c r="K8" s="1125"/>
      <c r="L8" s="1129"/>
    </row>
    <row r="9" spans="4:12" x14ac:dyDescent="0.2">
      <c r="D9" s="187"/>
      <c r="E9" s="187"/>
      <c r="F9" s="187"/>
      <c r="G9" s="187"/>
      <c r="H9" s="187"/>
      <c r="J9" s="1128"/>
      <c r="K9" s="1125"/>
      <c r="L9" s="1125"/>
    </row>
    <row r="10" spans="4:12" x14ac:dyDescent="0.2">
      <c r="D10" s="187"/>
      <c r="E10" s="187"/>
      <c r="F10" s="187"/>
      <c r="G10" s="187"/>
      <c r="H10" s="187"/>
      <c r="J10" s="187"/>
    </row>
    <row r="11" spans="4:12" ht="15" x14ac:dyDescent="0.25">
      <c r="D11" s="187"/>
      <c r="E11" s="1037"/>
      <c r="F11" s="187"/>
      <c r="G11" s="187"/>
      <c r="H11" s="1037"/>
      <c r="J11" s="187"/>
    </row>
    <row r="12" spans="4:12" ht="15" x14ac:dyDescent="0.25">
      <c r="D12" s="187"/>
      <c r="E12" s="1037"/>
      <c r="F12" s="187"/>
      <c r="G12" s="187"/>
      <c r="H12" s="1037"/>
      <c r="J12" s="187"/>
    </row>
    <row r="13" spans="4:12" ht="15" x14ac:dyDescent="0.25">
      <c r="D13" s="187"/>
      <c r="E13" s="1037"/>
      <c r="F13" s="187"/>
      <c r="G13" s="187"/>
      <c r="H13" s="187"/>
      <c r="J13" s="187"/>
    </row>
    <row r="14" spans="4:12" ht="15" x14ac:dyDescent="0.25">
      <c r="D14" s="187"/>
      <c r="E14" s="1037"/>
      <c r="F14" s="187"/>
      <c r="G14" s="187"/>
      <c r="H14" s="187"/>
      <c r="J14" s="187"/>
    </row>
    <row r="15" spans="4:12" ht="15" x14ac:dyDescent="0.25">
      <c r="E15" s="1040"/>
      <c r="G15" s="187"/>
      <c r="H15" s="1037"/>
      <c r="J15" s="187"/>
    </row>
    <row r="16" spans="4:12" ht="15" x14ac:dyDescent="0.25">
      <c r="D16" s="187"/>
      <c r="E16" s="1037"/>
      <c r="F16" s="187"/>
      <c r="G16" s="187"/>
      <c r="H16" s="187"/>
      <c r="J16" s="187"/>
    </row>
    <row r="17" spans="4:10" ht="15" x14ac:dyDescent="0.25">
      <c r="D17" s="187"/>
      <c r="E17" s="1039"/>
      <c r="F17" s="187"/>
      <c r="G17" s="187"/>
      <c r="H17" s="1037"/>
      <c r="J17" s="187"/>
    </row>
    <row r="18" spans="4:10" ht="15" x14ac:dyDescent="0.25">
      <c r="D18" s="187"/>
      <c r="E18" s="1039"/>
      <c r="F18" s="187"/>
      <c r="G18" s="187"/>
      <c r="H18" s="187"/>
      <c r="J18" s="187"/>
    </row>
    <row r="19" spans="4:10" x14ac:dyDescent="0.2">
      <c r="D19" s="187"/>
      <c r="E19" s="187"/>
      <c r="F19" s="187"/>
      <c r="G19" s="187"/>
      <c r="H19" s="187"/>
      <c r="J19" s="187"/>
    </row>
    <row r="20" spans="4:10" ht="15" x14ac:dyDescent="0.25">
      <c r="D20" s="187"/>
      <c r="E20" s="1037"/>
      <c r="F20" s="187"/>
      <c r="G20" s="187"/>
      <c r="H20" s="1037"/>
      <c r="J20" s="187"/>
    </row>
    <row r="21" spans="4:10" ht="15" x14ac:dyDescent="0.25">
      <c r="D21" s="187"/>
      <c r="E21" s="1037"/>
      <c r="F21" s="187"/>
      <c r="G21" s="187"/>
      <c r="H21" s="1037"/>
      <c r="I21" s="187"/>
      <c r="J21" s="187"/>
    </row>
    <row r="22" spans="4:10" ht="15" x14ac:dyDescent="0.25">
      <c r="D22" s="187"/>
      <c r="E22" s="1037"/>
      <c r="F22" s="187"/>
      <c r="G22" s="187"/>
      <c r="H22" s="187"/>
      <c r="I22" s="187"/>
      <c r="J22" s="187"/>
    </row>
    <row r="23" spans="4:10" ht="15" x14ac:dyDescent="0.25">
      <c r="D23" s="187"/>
      <c r="E23" s="1037"/>
      <c r="F23" s="187"/>
      <c r="G23" s="187"/>
      <c r="H23" s="1037"/>
      <c r="I23" s="187"/>
      <c r="J23" s="187"/>
    </row>
    <row r="24" spans="4:10" x14ac:dyDescent="0.2">
      <c r="I24" s="187"/>
      <c r="J24" s="187"/>
    </row>
    <row r="25" spans="4:10" ht="15" x14ac:dyDescent="0.25">
      <c r="E25" s="1037"/>
      <c r="F25" s="187"/>
      <c r="G25" s="187"/>
      <c r="H25" s="187"/>
      <c r="I25" s="187"/>
      <c r="J25" s="187"/>
    </row>
    <row r="26" spans="4:10" ht="15" x14ac:dyDescent="0.25">
      <c r="D26" s="187"/>
      <c r="E26" s="1037"/>
      <c r="F26" s="187"/>
      <c r="G26" s="187"/>
      <c r="H26" s="1037"/>
      <c r="I26" s="187"/>
      <c r="J26" s="187"/>
    </row>
    <row r="27" spans="4:10" ht="15" x14ac:dyDescent="0.25">
      <c r="D27" s="187"/>
      <c r="E27" s="1037"/>
      <c r="F27" s="187"/>
      <c r="G27" s="187"/>
      <c r="H27" s="187"/>
      <c r="I27" s="187"/>
      <c r="J27" s="187"/>
    </row>
    <row r="28" spans="4:10" x14ac:dyDescent="0.2">
      <c r="E28" s="187"/>
      <c r="F28" s="187"/>
      <c r="G28" s="187"/>
      <c r="H28" s="187"/>
      <c r="I28" s="187"/>
      <c r="J28" s="187"/>
    </row>
    <row r="29" spans="4:10" x14ac:dyDescent="0.2">
      <c r="J29" s="187"/>
    </row>
  </sheetData>
  <phoneticPr fontId="25" type="noConversion"/>
  <pageMargins left="0.75" right="0.75" top="1" bottom="1" header="0" footer="0"/>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44" sqref="J44"/>
    </sheetView>
  </sheetViews>
  <sheetFormatPr baseColWidth="10" defaultRowHeight="12.75" x14ac:dyDescent="0.2"/>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0" tint="-0.14999847407452621"/>
  </sheetPr>
  <dimension ref="A4:Q156"/>
  <sheetViews>
    <sheetView showGridLines="0" topLeftCell="A115" zoomScaleNormal="100" workbookViewId="0">
      <selection activeCell="I127" sqref="I127"/>
    </sheetView>
  </sheetViews>
  <sheetFormatPr baseColWidth="10" defaultColWidth="11.140625" defaultRowHeight="15" x14ac:dyDescent="0.25"/>
  <cols>
    <col min="1" max="1" width="16.42578125" style="1044" customWidth="1"/>
    <col min="2" max="2" width="11.140625" style="1044"/>
    <col min="3" max="3" width="13.5703125" style="1044" customWidth="1"/>
    <col min="4" max="4" width="6.85546875" style="1044" customWidth="1"/>
    <col min="5" max="5" width="12.42578125" style="1044" bestFit="1" customWidth="1"/>
    <col min="6" max="6" width="6.5703125" style="1044" customWidth="1"/>
    <col min="7" max="7" width="9.42578125" style="1044" customWidth="1"/>
    <col min="8" max="9" width="7.42578125" style="1044" customWidth="1"/>
    <col min="10" max="10" width="7.140625" style="1044" customWidth="1"/>
    <col min="11" max="13" width="11.140625" style="1044"/>
    <col min="14" max="14" width="10.85546875" style="1044" customWidth="1"/>
    <col min="15" max="16384" width="11.140625" style="1044"/>
  </cols>
  <sheetData>
    <row r="4" spans="1:17" x14ac:dyDescent="0.25">
      <c r="I4" s="1047"/>
      <c r="J4" s="1047"/>
      <c r="K4" s="1047"/>
      <c r="L4" s="1047"/>
      <c r="M4" s="1047"/>
      <c r="N4" s="1047"/>
      <c r="O4" s="1047"/>
      <c r="P4" s="1047"/>
      <c r="Q4" s="1047"/>
    </row>
    <row r="5" spans="1:17" ht="15.75" x14ac:dyDescent="0.25">
      <c r="A5" s="1043" t="s">
        <v>1159</v>
      </c>
      <c r="I5" s="1047"/>
      <c r="J5" s="1047"/>
      <c r="K5" s="1047"/>
      <c r="L5" s="1083"/>
      <c r="M5" s="1047"/>
      <c r="N5" s="1047"/>
      <c r="O5" s="1047"/>
      <c r="P5" s="1047"/>
      <c r="Q5" s="1047"/>
    </row>
    <row r="6" spans="1:17" ht="18.75" x14ac:dyDescent="0.3">
      <c r="D6" s="1050" t="s">
        <v>1160</v>
      </c>
      <c r="I6" s="1047"/>
      <c r="J6" s="1047"/>
      <c r="K6" s="1047"/>
      <c r="L6" s="1526"/>
      <c r="M6" s="1526"/>
      <c r="N6" s="1526"/>
      <c r="O6" s="1526"/>
      <c r="P6" s="1526"/>
      <c r="Q6" s="1047"/>
    </row>
    <row r="7" spans="1:17" x14ac:dyDescent="0.25">
      <c r="D7" s="1045" t="s">
        <v>1161</v>
      </c>
      <c r="E7" s="1085"/>
      <c r="G7" s="1044" t="s">
        <v>1162</v>
      </c>
      <c r="H7" s="1046" t="e">
        <f>E9/E7</f>
        <v>#DIV/0!</v>
      </c>
      <c r="I7" s="1047"/>
      <c r="J7" s="1047"/>
      <c r="K7" s="1084"/>
      <c r="L7" s="1084"/>
      <c r="M7" s="1084"/>
      <c r="N7" s="1084"/>
      <c r="O7" s="1084"/>
      <c r="P7" s="1084"/>
      <c r="Q7" s="1047"/>
    </row>
    <row r="8" spans="1:17" x14ac:dyDescent="0.25">
      <c r="D8" s="1045" t="s">
        <v>339</v>
      </c>
      <c r="E8" s="1085"/>
      <c r="G8" s="1044" t="s">
        <v>1163</v>
      </c>
      <c r="H8" s="1046" t="e">
        <f>E8/E7</f>
        <v>#DIV/0!</v>
      </c>
      <c r="I8" s="1047"/>
      <c r="J8" s="1525"/>
      <c r="K8" s="1084"/>
      <c r="L8" s="1084"/>
      <c r="M8" s="1084"/>
      <c r="N8" s="1084"/>
      <c r="O8" s="1084"/>
      <c r="P8" s="1084"/>
      <c r="Q8" s="1047"/>
    </row>
    <row r="9" spans="1:17" x14ac:dyDescent="0.25">
      <c r="D9" s="1045" t="s">
        <v>1164</v>
      </c>
      <c r="E9" s="1085"/>
      <c r="H9" s="1046"/>
      <c r="I9" s="1047"/>
      <c r="J9" s="1525"/>
      <c r="K9" s="1084"/>
      <c r="L9" s="1084"/>
      <c r="M9" s="1084"/>
      <c r="N9" s="1084"/>
      <c r="O9" s="1084"/>
      <c r="P9" s="1084"/>
      <c r="Q9" s="1047"/>
    </row>
    <row r="10" spans="1:17" x14ac:dyDescent="0.25">
      <c r="D10" s="1047"/>
      <c r="E10" s="1047"/>
      <c r="G10" s="1081" t="s">
        <v>1165</v>
      </c>
      <c r="H10" s="1082" t="e">
        <f>57.32*(ATAN((0.5+H8)/(H7+0.00001)))/90</f>
        <v>#DIV/0!</v>
      </c>
      <c r="I10" s="1047"/>
      <c r="J10" s="1525"/>
      <c r="K10" s="1084"/>
      <c r="L10" s="1084"/>
      <c r="M10" s="1084"/>
      <c r="N10" s="1084"/>
      <c r="O10" s="1084"/>
      <c r="P10" s="1084"/>
      <c r="Q10" s="1047"/>
    </row>
    <row r="11" spans="1:17" x14ac:dyDescent="0.25">
      <c r="G11" s="1081" t="s">
        <v>565</v>
      </c>
      <c r="H11" s="1082" t="e">
        <f>(H10-0.00417)/(0.6237+0.3632*H10*H10)</f>
        <v>#DIV/0!</v>
      </c>
      <c r="I11" s="1047"/>
      <c r="J11" s="1047"/>
      <c r="K11" s="1047"/>
      <c r="L11" s="1047"/>
      <c r="M11" s="1047"/>
      <c r="N11" s="1047"/>
      <c r="O11" s="1047"/>
      <c r="P11" s="1047"/>
      <c r="Q11" s="1047"/>
    </row>
    <row r="12" spans="1:17" x14ac:dyDescent="0.25">
      <c r="G12" s="1081" t="s">
        <v>1166</v>
      </c>
      <c r="H12" s="1082" t="e">
        <f>IF(H11&gt;1,1,H11)</f>
        <v>#DIV/0!</v>
      </c>
      <c r="I12" s="1047"/>
      <c r="J12" s="1047"/>
      <c r="K12" s="1047"/>
      <c r="L12" s="1047"/>
      <c r="M12" s="1047"/>
      <c r="N12" s="1047"/>
      <c r="O12" s="1047"/>
      <c r="P12" s="1047"/>
      <c r="Q12" s="1047"/>
    </row>
    <row r="13" spans="1:17" ht="18" x14ac:dyDescent="0.35">
      <c r="D13" s="1047" t="s">
        <v>1167</v>
      </c>
      <c r="E13" s="1048" t="e">
        <f>IF(H13&lt;0.03,0,H13)</f>
        <v>#DIV/0!</v>
      </c>
      <c r="G13" s="1081" t="s">
        <v>1168</v>
      </c>
      <c r="H13" s="1082" t="e">
        <f>IF(H12&lt;0,0,H12)</f>
        <v>#DIV/0!</v>
      </c>
      <c r="I13" s="1047"/>
      <c r="J13" s="1047"/>
      <c r="K13" s="1047"/>
      <c r="L13" s="1047"/>
      <c r="M13" s="1047"/>
      <c r="N13" s="1047"/>
      <c r="O13" s="1047"/>
      <c r="P13" s="1047"/>
      <c r="Q13" s="1047"/>
    </row>
    <row r="14" spans="1:17" x14ac:dyDescent="0.25">
      <c r="I14" s="1047"/>
      <c r="J14" s="1047"/>
      <c r="K14" s="1047"/>
      <c r="L14" s="1047"/>
      <c r="M14" s="1047"/>
      <c r="N14" s="1047"/>
      <c r="O14" s="1047"/>
      <c r="P14" s="1047"/>
      <c r="Q14" s="1047"/>
    </row>
    <row r="15" spans="1:17" ht="15.75" x14ac:dyDescent="0.25">
      <c r="E15" s="1049"/>
      <c r="I15" s="1047"/>
      <c r="J15" s="1047"/>
      <c r="K15" s="1047"/>
      <c r="L15" s="1083"/>
      <c r="M15" s="1047"/>
      <c r="N15" s="1047"/>
      <c r="O15" s="1047"/>
      <c r="P15" s="1047"/>
      <c r="Q15" s="1047"/>
    </row>
    <row r="16" spans="1:17" ht="18.75" x14ac:dyDescent="0.3">
      <c r="D16" s="1050" t="s">
        <v>1169</v>
      </c>
      <c r="I16" s="1047"/>
      <c r="J16" s="1047"/>
      <c r="K16" s="1047"/>
      <c r="L16" s="1526"/>
      <c r="M16" s="1526"/>
      <c r="N16" s="1526"/>
      <c r="O16" s="1526"/>
      <c r="P16" s="1526"/>
      <c r="Q16" s="1047"/>
    </row>
    <row r="17" spans="1:17" x14ac:dyDescent="0.25">
      <c r="D17" s="1044" t="s">
        <v>1161</v>
      </c>
      <c r="E17" s="1085"/>
      <c r="G17" s="1044" t="s">
        <v>1162</v>
      </c>
      <c r="H17" s="1046" t="e">
        <f>E19/E17</f>
        <v>#DIV/0!</v>
      </c>
      <c r="I17" s="1047"/>
      <c r="J17" s="1047"/>
      <c r="K17" s="1084"/>
      <c r="L17" s="1084"/>
      <c r="M17" s="1084"/>
      <c r="N17" s="1084"/>
      <c r="O17" s="1084"/>
      <c r="P17" s="1084"/>
      <c r="Q17" s="1047"/>
    </row>
    <row r="18" spans="1:17" x14ac:dyDescent="0.25">
      <c r="D18" s="1044" t="s">
        <v>339</v>
      </c>
      <c r="E18" s="1085"/>
      <c r="G18" s="1044" t="s">
        <v>1163</v>
      </c>
      <c r="H18" s="1046" t="e">
        <f>E18/E17</f>
        <v>#DIV/0!</v>
      </c>
      <c r="I18" s="1047"/>
      <c r="J18" s="1525"/>
      <c r="K18" s="1084"/>
      <c r="L18" s="1084"/>
      <c r="M18" s="1084"/>
      <c r="N18" s="1084"/>
      <c r="O18" s="1084"/>
      <c r="P18" s="1084"/>
      <c r="Q18" s="1047"/>
    </row>
    <row r="19" spans="1:17" x14ac:dyDescent="0.25">
      <c r="D19" s="1044" t="s">
        <v>1164</v>
      </c>
      <c r="E19" s="1085"/>
      <c r="H19" s="1046"/>
      <c r="I19" s="1047"/>
      <c r="J19" s="1525"/>
      <c r="K19" s="1084"/>
      <c r="L19" s="1084"/>
      <c r="M19" s="1084"/>
      <c r="N19" s="1084"/>
      <c r="O19" s="1084"/>
      <c r="P19" s="1084"/>
      <c r="Q19" s="1047"/>
    </row>
    <row r="20" spans="1:17" x14ac:dyDescent="0.25">
      <c r="G20" s="1081" t="s">
        <v>1165</v>
      </c>
      <c r="H20" s="1082" t="e">
        <f>57.32*(ATAN((0.5+H18)/(H17+0.00001)))/90</f>
        <v>#DIV/0!</v>
      </c>
      <c r="I20" s="1047"/>
      <c r="J20" s="1525"/>
      <c r="K20" s="1084"/>
      <c r="L20" s="1084"/>
      <c r="M20" s="1084"/>
      <c r="N20" s="1084"/>
      <c r="O20" s="1084"/>
      <c r="P20" s="1084"/>
      <c r="Q20" s="1047"/>
    </row>
    <row r="21" spans="1:17" x14ac:dyDescent="0.25">
      <c r="G21" s="1081" t="s">
        <v>565</v>
      </c>
      <c r="H21" s="1082" t="e">
        <f>(H20-0.000706)/(0.2379+0.7377*H20)</f>
        <v>#DIV/0!</v>
      </c>
      <c r="I21" s="1047"/>
      <c r="J21" s="1047"/>
      <c r="K21" s="1047"/>
      <c r="L21" s="1047"/>
      <c r="M21" s="1047"/>
      <c r="N21" s="1047"/>
      <c r="O21" s="1047"/>
      <c r="P21" s="1047"/>
      <c r="Q21" s="1047"/>
    </row>
    <row r="22" spans="1:17" x14ac:dyDescent="0.25">
      <c r="G22" s="1081" t="s">
        <v>1166</v>
      </c>
      <c r="H22" s="1082" t="e">
        <f>IF(H21&gt;1,1,H21)</f>
        <v>#DIV/0!</v>
      </c>
      <c r="I22" s="1047"/>
      <c r="J22" s="1047"/>
      <c r="K22" s="1047"/>
      <c r="L22" s="1047"/>
      <c r="M22" s="1047"/>
      <c r="N22" s="1047"/>
      <c r="O22" s="1047"/>
      <c r="P22" s="1047"/>
      <c r="Q22" s="1047"/>
    </row>
    <row r="23" spans="1:17" ht="18" x14ac:dyDescent="0.35">
      <c r="D23" s="1044" t="s">
        <v>1167</v>
      </c>
      <c r="E23" s="1048" t="e">
        <f>IF(H23&lt;0.03,0,H23)</f>
        <v>#DIV/0!</v>
      </c>
      <c r="G23" s="1081" t="s">
        <v>1168</v>
      </c>
      <c r="H23" s="1082" t="e">
        <f>IF(H22&lt;0,0,H22)</f>
        <v>#DIV/0!</v>
      </c>
    </row>
    <row r="26" spans="1:17" ht="15.75" x14ac:dyDescent="0.25">
      <c r="A26" s="1043" t="s">
        <v>1170</v>
      </c>
    </row>
    <row r="28" spans="1:17" x14ac:dyDescent="0.25">
      <c r="A28" s="1044" t="s">
        <v>1171</v>
      </c>
    </row>
    <row r="39" spans="1:3" x14ac:dyDescent="0.25">
      <c r="A39" s="1080" t="s">
        <v>1230</v>
      </c>
      <c r="C39" s="1080" t="s">
        <v>1229</v>
      </c>
    </row>
    <row r="41" spans="1:3" x14ac:dyDescent="0.25">
      <c r="A41" s="1044" t="s">
        <v>1172</v>
      </c>
    </row>
    <row r="51" spans="1:15" x14ac:dyDescent="0.25">
      <c r="A51" s="1080" t="s">
        <v>1230</v>
      </c>
      <c r="C51" s="1080" t="s">
        <v>1229</v>
      </c>
    </row>
    <row r="53" spans="1:15" x14ac:dyDescent="0.25">
      <c r="A53" s="1044" t="s">
        <v>1173</v>
      </c>
    </row>
    <row r="55" spans="1:15" x14ac:dyDescent="0.25">
      <c r="K55" s="1524"/>
      <c r="L55" s="1524"/>
      <c r="M55" s="1524"/>
      <c r="N55" s="1524"/>
      <c r="O55" s="1524"/>
    </row>
    <row r="56" spans="1:15" x14ac:dyDescent="0.25">
      <c r="K56" s="1524"/>
      <c r="L56" s="1524"/>
      <c r="M56" s="1524"/>
      <c r="N56" s="1524"/>
      <c r="O56" s="1524"/>
    </row>
    <row r="57" spans="1:15" x14ac:dyDescent="0.25">
      <c r="K57" s="1524"/>
      <c r="L57" s="1524"/>
      <c r="M57" s="1524"/>
      <c r="N57" s="1524"/>
      <c r="O57" s="1524"/>
    </row>
    <row r="58" spans="1:15" x14ac:dyDescent="0.25">
      <c r="K58" s="1524"/>
      <c r="L58" s="1524"/>
      <c r="M58" s="1524"/>
      <c r="N58" s="1524"/>
      <c r="O58" s="1524"/>
    </row>
    <row r="65" spans="1:8" x14ac:dyDescent="0.25">
      <c r="A65" s="1080" t="s">
        <v>1230</v>
      </c>
      <c r="C65" s="1080" t="s">
        <v>1229</v>
      </c>
    </row>
    <row r="67" spans="1:8" ht="18.75" x14ac:dyDescent="0.35">
      <c r="A67" s="1043" t="s">
        <v>1174</v>
      </c>
    </row>
    <row r="68" spans="1:8" ht="18.75" x14ac:dyDescent="0.3">
      <c r="D68" s="1050" t="s">
        <v>1160</v>
      </c>
    </row>
    <row r="69" spans="1:8" x14ac:dyDescent="0.25">
      <c r="D69" s="1044" t="s">
        <v>1175</v>
      </c>
    </row>
    <row r="70" spans="1:8" ht="10.35" customHeight="1" x14ac:dyDescent="0.25"/>
    <row r="71" spans="1:8" x14ac:dyDescent="0.25">
      <c r="D71" s="1044" t="s">
        <v>1176</v>
      </c>
      <c r="E71" s="1085"/>
      <c r="G71" s="1044" t="s">
        <v>1177</v>
      </c>
      <c r="H71" s="1049" t="e">
        <f>0.00001+E72/E71</f>
        <v>#DIV/0!</v>
      </c>
    </row>
    <row r="72" spans="1:8" x14ac:dyDescent="0.25">
      <c r="D72" s="1044" t="s">
        <v>1178</v>
      </c>
      <c r="E72" s="1085"/>
      <c r="G72" s="1044" t="s">
        <v>1179</v>
      </c>
      <c r="H72" s="1049" t="e">
        <f>E73/E71</f>
        <v>#DIV/0!</v>
      </c>
    </row>
    <row r="73" spans="1:8" x14ac:dyDescent="0.25">
      <c r="D73" s="1044" t="s">
        <v>303</v>
      </c>
      <c r="E73" s="1085"/>
      <c r="G73" s="1081" t="s">
        <v>1165</v>
      </c>
      <c r="H73" s="1086">
        <f>(90-57.32*ATAN((0.5*E71+E73)/(E72+0.000001)))/90</f>
        <v>1</v>
      </c>
    </row>
    <row r="74" spans="1:8" x14ac:dyDescent="0.25">
      <c r="F74" s="1051"/>
      <c r="G74" s="1081" t="s">
        <v>1180</v>
      </c>
      <c r="H74" s="1086" t="e">
        <f>(90-57.32*ATAN((0.5*E71)/E72))/90</f>
        <v>#DIV/0!</v>
      </c>
    </row>
    <row r="75" spans="1:8" x14ac:dyDescent="0.25">
      <c r="D75" s="1044" t="s">
        <v>1181</v>
      </c>
      <c r="E75" s="1053" t="e">
        <f>IF(H76&lt;0.03,0,H76)</f>
        <v>#DIV/0!</v>
      </c>
      <c r="F75" s="1051"/>
      <c r="G75" s="1081" t="s">
        <v>1182</v>
      </c>
      <c r="H75" s="1086" t="e">
        <f>LN(E73/E71+0.01)</f>
        <v>#DIV/0!</v>
      </c>
    </row>
    <row r="76" spans="1:8" x14ac:dyDescent="0.25">
      <c r="F76" s="1051"/>
      <c r="G76" s="1081" t="s">
        <v>1183</v>
      </c>
      <c r="H76" s="1087" t="e">
        <f>-0.00531+0.332*H73*H73-0.0163*H74*H74-0.006462*H75+0.000497*H75*H75+0.00007253*H75*H75*H75</f>
        <v>#DIV/0!</v>
      </c>
    </row>
    <row r="77" spans="1:8" x14ac:dyDescent="0.25">
      <c r="F77" s="1051"/>
    </row>
    <row r="78" spans="1:8" x14ac:dyDescent="0.25">
      <c r="D78" s="1044" t="s">
        <v>1184</v>
      </c>
      <c r="E78" s="1055"/>
      <c r="F78" s="1051"/>
      <c r="G78" s="1051"/>
      <c r="H78" s="1054"/>
    </row>
    <row r="79" spans="1:8" x14ac:dyDescent="0.25">
      <c r="E79" s="1055"/>
      <c r="F79" s="1051"/>
      <c r="G79" s="1051"/>
      <c r="H79" s="1054"/>
    </row>
    <row r="80" spans="1:8" x14ac:dyDescent="0.25">
      <c r="D80" s="1044" t="s">
        <v>1176</v>
      </c>
      <c r="E80" s="1085"/>
      <c r="G80" s="1044" t="s">
        <v>1177</v>
      </c>
      <c r="H80" s="1049" t="e">
        <f>E81/E80+0.0000001</f>
        <v>#DIV/0!</v>
      </c>
    </row>
    <row r="81" spans="1:8" x14ac:dyDescent="0.25">
      <c r="D81" s="1044" t="s">
        <v>1178</v>
      </c>
      <c r="E81" s="1085"/>
      <c r="G81" s="1044" t="s">
        <v>1179</v>
      </c>
      <c r="H81" s="1049" t="e">
        <f>E82/E80</f>
        <v>#DIV/0!</v>
      </c>
    </row>
    <row r="82" spans="1:8" x14ac:dyDescent="0.25">
      <c r="D82" s="1044" t="s">
        <v>303</v>
      </c>
      <c r="E82" s="1085"/>
      <c r="G82" s="1081" t="s">
        <v>1165</v>
      </c>
      <c r="H82" s="1086" t="e">
        <f>(90-57.32*ATAN((0.5*E80+E82)/E81))/90</f>
        <v>#DIV/0!</v>
      </c>
    </row>
    <row r="83" spans="1:8" x14ac:dyDescent="0.25">
      <c r="F83" s="1051"/>
      <c r="G83" s="1081" t="s">
        <v>1180</v>
      </c>
      <c r="H83" s="1086" t="e">
        <f>(90-57.32*ATAN((0.5*E80)/E81))/90</f>
        <v>#DIV/0!</v>
      </c>
    </row>
    <row r="84" spans="1:8" ht="15" customHeight="1" x14ac:dyDescent="0.25">
      <c r="A84" s="1524"/>
      <c r="B84" s="1524"/>
      <c r="D84" s="1044" t="s">
        <v>1185</v>
      </c>
      <c r="E84" s="1053" t="e">
        <f>IF(H85&lt;0.03,0,H85)</f>
        <v>#DIV/0!</v>
      </c>
      <c r="F84" s="1051"/>
      <c r="G84" s="1081" t="s">
        <v>1182</v>
      </c>
      <c r="H84" s="1086" t="e">
        <f>LN(E82/E80+0.01)</f>
        <v>#DIV/0!</v>
      </c>
    </row>
    <row r="85" spans="1:8" x14ac:dyDescent="0.25">
      <c r="A85" s="1524"/>
      <c r="B85" s="1524"/>
      <c r="E85" s="1055"/>
      <c r="F85" s="1051"/>
      <c r="G85" s="1081" t="s">
        <v>1183</v>
      </c>
      <c r="H85" s="1087" t="e">
        <f>-0.00531+0.332*H82*H82-0.0163*H83*H83-0.006462*H84+0.000497*H84*H84+0.00007253*H84*H84*H84</f>
        <v>#DIV/0!</v>
      </c>
    </row>
    <row r="86" spans="1:8" x14ac:dyDescent="0.25">
      <c r="A86" s="1524"/>
      <c r="B86" s="1524"/>
      <c r="F86" s="1051"/>
    </row>
    <row r="87" spans="1:8" ht="18" x14ac:dyDescent="0.35">
      <c r="A87" s="1524"/>
      <c r="B87" s="1524"/>
      <c r="D87" s="1044" t="s">
        <v>1186</v>
      </c>
      <c r="E87" s="1053" t="e">
        <f>1-E75-E84</f>
        <v>#DIV/0!</v>
      </c>
      <c r="F87" s="1051"/>
      <c r="G87" s="1051"/>
      <c r="H87" s="1054"/>
    </row>
    <row r="90" spans="1:8" ht="18.75" x14ac:dyDescent="0.3">
      <c r="D90" s="1050" t="s">
        <v>1169</v>
      </c>
    </row>
    <row r="91" spans="1:8" x14ac:dyDescent="0.25">
      <c r="D91" s="1044" t="s">
        <v>1175</v>
      </c>
    </row>
    <row r="93" spans="1:8" x14ac:dyDescent="0.25">
      <c r="D93" s="1044" t="s">
        <v>1176</v>
      </c>
      <c r="E93" s="1085"/>
      <c r="G93" s="1044" t="s">
        <v>1177</v>
      </c>
      <c r="H93" s="1044" t="e">
        <f>E94/E93</f>
        <v>#DIV/0!</v>
      </c>
    </row>
    <row r="94" spans="1:8" x14ac:dyDescent="0.25">
      <c r="D94" s="1044" t="s">
        <v>1178</v>
      </c>
      <c r="E94" s="1085"/>
      <c r="G94" s="1044" t="s">
        <v>1179</v>
      </c>
      <c r="H94" s="1044" t="e">
        <f>E95/E93</f>
        <v>#DIV/0!</v>
      </c>
    </row>
    <row r="95" spans="1:8" x14ac:dyDescent="0.25">
      <c r="D95" s="1044" t="s">
        <v>303</v>
      </c>
      <c r="E95" s="1085"/>
      <c r="G95" s="1051" t="s">
        <v>1165</v>
      </c>
      <c r="H95" s="1052" t="e">
        <f>(90-57.32*ATAN((0.5*E93+E95)/E94))/90</f>
        <v>#DIV/0!</v>
      </c>
    </row>
    <row r="96" spans="1:8" x14ac:dyDescent="0.25">
      <c r="F96" s="1051"/>
      <c r="G96" s="1051" t="s">
        <v>1180</v>
      </c>
      <c r="H96" s="1052" t="e">
        <f>(90-57.32*ATAN((0.5*E93)/E94))/90</f>
        <v>#DIV/0!</v>
      </c>
    </row>
    <row r="97" spans="1:8" x14ac:dyDescent="0.25">
      <c r="D97" s="1044" t="s">
        <v>1181</v>
      </c>
      <c r="E97" s="1053" t="e">
        <f>IF(H98&lt;0.03,0.01,H98)</f>
        <v>#DIV/0!</v>
      </c>
      <c r="F97" s="1051"/>
      <c r="G97" s="1051" t="s">
        <v>1182</v>
      </c>
      <c r="H97" s="1052" t="e">
        <f>LN(E95/E93+0.01)</f>
        <v>#DIV/0!</v>
      </c>
    </row>
    <row r="98" spans="1:8" x14ac:dyDescent="0.25">
      <c r="F98" s="1051"/>
      <c r="G98" s="1051" t="s">
        <v>1183</v>
      </c>
      <c r="H98" s="1054" t="e">
        <f>0.02491+0.4215*H95*H95-0.0451*H96*H96-(0.008206*H97-0.000554*H97*H97-0.0000991*H97*H97*H97)</f>
        <v>#DIV/0!</v>
      </c>
    </row>
    <row r="99" spans="1:8" x14ac:dyDescent="0.25">
      <c r="F99" s="1051"/>
    </row>
    <row r="100" spans="1:8" x14ac:dyDescent="0.25">
      <c r="D100" s="1044" t="s">
        <v>1184</v>
      </c>
      <c r="E100" s="1055"/>
      <c r="F100" s="1051"/>
      <c r="G100" s="1051"/>
      <c r="H100" s="1054"/>
    </row>
    <row r="101" spans="1:8" x14ac:dyDescent="0.25">
      <c r="E101" s="1055"/>
      <c r="F101" s="1051"/>
      <c r="G101" s="1051"/>
      <c r="H101" s="1054"/>
    </row>
    <row r="102" spans="1:8" x14ac:dyDescent="0.25">
      <c r="D102" s="1044" t="s">
        <v>1176</v>
      </c>
      <c r="E102" s="1085"/>
      <c r="G102" s="1044" t="s">
        <v>1177</v>
      </c>
      <c r="H102" s="1044" t="e">
        <f>E103/E102</f>
        <v>#DIV/0!</v>
      </c>
    </row>
    <row r="103" spans="1:8" x14ac:dyDescent="0.25">
      <c r="D103" s="1044" t="s">
        <v>1178</v>
      </c>
      <c r="E103" s="1085"/>
      <c r="G103" s="1044" t="s">
        <v>1179</v>
      </c>
      <c r="H103" s="1044" t="e">
        <f>E104/E102</f>
        <v>#DIV/0!</v>
      </c>
    </row>
    <row r="104" spans="1:8" x14ac:dyDescent="0.25">
      <c r="D104" s="1044" t="s">
        <v>303</v>
      </c>
      <c r="E104" s="1085"/>
      <c r="G104" s="1051" t="s">
        <v>1165</v>
      </c>
      <c r="H104" s="1052" t="e">
        <f>(90-57.32*ATAN((0.5*E102+E104)/E103))/90</f>
        <v>#DIV/0!</v>
      </c>
    </row>
    <row r="105" spans="1:8" x14ac:dyDescent="0.25">
      <c r="F105" s="1051"/>
      <c r="G105" s="1051" t="s">
        <v>1180</v>
      </c>
      <c r="H105" s="1052" t="e">
        <f>(90-57.32*ATAN((0.5*E102)/E103))/90</f>
        <v>#DIV/0!</v>
      </c>
    </row>
    <row r="106" spans="1:8" x14ac:dyDescent="0.25">
      <c r="D106" s="1044" t="s">
        <v>1185</v>
      </c>
      <c r="E106" s="1053" t="e">
        <f>IF(H107&lt;0.03,0.01,H107)</f>
        <v>#DIV/0!</v>
      </c>
      <c r="F106" s="1051"/>
      <c r="G106" s="1051" t="s">
        <v>1182</v>
      </c>
      <c r="H106" s="1052" t="e">
        <f>LN(E104/E102+0.01)</f>
        <v>#DIV/0!</v>
      </c>
    </row>
    <row r="107" spans="1:8" x14ac:dyDescent="0.25">
      <c r="E107" s="1055"/>
      <c r="F107" s="1051"/>
      <c r="G107" s="1051" t="s">
        <v>1183</v>
      </c>
      <c r="H107" s="1054" t="e">
        <f>0.02491+0.4215*H104*H104-0.0451*H105*H105-(0.008206*H106-0.000554*H106*H106-0.0000991*H106*H106*H106)</f>
        <v>#DIV/0!</v>
      </c>
    </row>
    <row r="108" spans="1:8" x14ac:dyDescent="0.25">
      <c r="F108" s="1051"/>
    </row>
    <row r="109" spans="1:8" ht="18" x14ac:dyDescent="0.35">
      <c r="D109" s="1044" t="s">
        <v>1186</v>
      </c>
      <c r="E109" s="1053" t="e">
        <f>1-E97-E106</f>
        <v>#DIV/0!</v>
      </c>
      <c r="F109" s="1051"/>
      <c r="G109" s="1051"/>
      <c r="H109" s="1054"/>
    </row>
    <row r="112" spans="1:8" ht="18.75" x14ac:dyDescent="0.35">
      <c r="A112" s="1043" t="s">
        <v>1187</v>
      </c>
    </row>
    <row r="113" spans="1:9" x14ac:dyDescent="0.25">
      <c r="A113" s="1044" t="s">
        <v>1188</v>
      </c>
    </row>
    <row r="114" spans="1:9" x14ac:dyDescent="0.25">
      <c r="A114" s="1044" t="s">
        <v>1189</v>
      </c>
    </row>
    <row r="116" spans="1:9" x14ac:dyDescent="0.25">
      <c r="A116" s="1044" t="s">
        <v>793</v>
      </c>
      <c r="B116" s="1528" t="s">
        <v>1190</v>
      </c>
      <c r="C116" s="1528"/>
      <c r="D116" s="1528"/>
    </row>
    <row r="117" spans="1:9" x14ac:dyDescent="0.25">
      <c r="B117" s="1056">
        <v>0</v>
      </c>
      <c r="C117" s="1056">
        <v>30</v>
      </c>
      <c r="D117" s="1056">
        <v>60</v>
      </c>
      <c r="E117" s="1057"/>
    </row>
    <row r="118" spans="1:9" x14ac:dyDescent="0.25">
      <c r="A118" s="1058" t="s">
        <v>1191</v>
      </c>
      <c r="B118" s="1059">
        <f>(0.49+0.54)/2</f>
        <v>0.51500000000000001</v>
      </c>
      <c r="C118" s="1059">
        <f>(0.42+0.44)/2</f>
        <v>0.43</v>
      </c>
      <c r="D118" s="1059">
        <v>0.26</v>
      </c>
      <c r="E118" s="1060"/>
      <c r="F118" s="1049"/>
    </row>
    <row r="119" spans="1:9" x14ac:dyDescent="0.25">
      <c r="A119" s="1058" t="s">
        <v>1192</v>
      </c>
      <c r="B119" s="1059">
        <v>0.56999999999999995</v>
      </c>
      <c r="C119" s="1059">
        <v>0.45</v>
      </c>
      <c r="D119" s="1059">
        <v>0.27</v>
      </c>
      <c r="E119" s="1060"/>
      <c r="F119" s="1049"/>
    </row>
    <row r="120" spans="1:9" x14ac:dyDescent="0.25">
      <c r="B120" s="1060"/>
      <c r="C120" s="1060"/>
      <c r="D120" s="1060"/>
      <c r="E120" s="1060"/>
      <c r="F120" s="1049"/>
    </row>
    <row r="121" spans="1:9" x14ac:dyDescent="0.25">
      <c r="A121" s="1044" t="s">
        <v>1193</v>
      </c>
      <c r="B121" s="1060"/>
      <c r="C121" s="1060"/>
      <c r="D121" s="1060"/>
      <c r="E121" s="1060"/>
      <c r="F121" s="1049"/>
    </row>
    <row r="122" spans="1:9" x14ac:dyDescent="0.25">
      <c r="B122" s="1049"/>
      <c r="C122" s="1049"/>
      <c r="D122" s="1049"/>
      <c r="E122" s="1049"/>
      <c r="F122" s="1049"/>
    </row>
    <row r="123" spans="1:9" x14ac:dyDescent="0.25">
      <c r="A123" s="1044" t="s">
        <v>793</v>
      </c>
      <c r="B123" s="1049"/>
      <c r="C123" s="1049"/>
      <c r="D123" s="1049"/>
      <c r="E123" s="1049"/>
      <c r="F123" s="1049"/>
    </row>
    <row r="124" spans="1:9" x14ac:dyDescent="0.25">
      <c r="B124" s="1061">
        <v>0</v>
      </c>
      <c r="C124" s="1061">
        <v>30</v>
      </c>
      <c r="D124" s="1061">
        <v>45</v>
      </c>
      <c r="E124" s="1061">
        <v>60</v>
      </c>
      <c r="F124" s="1049"/>
    </row>
    <row r="125" spans="1:9" x14ac:dyDescent="0.25">
      <c r="A125" s="1058" t="s">
        <v>1191</v>
      </c>
      <c r="B125" s="1059">
        <f>(0.53+0.56+0.56)/3</f>
        <v>0.55000000000000004</v>
      </c>
      <c r="C125" s="1059">
        <f>(0.47+0.49+0.56+0.47+0.5+0.53)/6</f>
        <v>0.50333333333333341</v>
      </c>
      <c r="D125" s="1059">
        <f>(0.41+0.44+0.53+0.4+0.44+0.48)/6</f>
        <v>0.44999999999999996</v>
      </c>
      <c r="E125" s="1059">
        <f>(0.32+0.37+0.46+0.3+0.38+0.38)/6</f>
        <v>0.36833333333333335</v>
      </c>
      <c r="H125" s="1063" t="s">
        <v>1164</v>
      </c>
      <c r="I125" s="1090"/>
    </row>
    <row r="126" spans="1:9" x14ac:dyDescent="0.25">
      <c r="A126" s="1058" t="s">
        <v>1192</v>
      </c>
      <c r="B126" s="1059">
        <v>0.63</v>
      </c>
      <c r="C126" s="1059">
        <f>(0.54+0.55+0.58+0.5)/4</f>
        <v>0.54249999999999998</v>
      </c>
      <c r="D126" s="1059">
        <f>(0.47+0.52+0.45+0.41)/4</f>
        <v>0.46249999999999997</v>
      </c>
      <c r="E126" s="1059">
        <f>(0.39+0.44+0.32+0.29)/4</f>
        <v>0.36000000000000004</v>
      </c>
      <c r="H126" s="1063" t="s">
        <v>339</v>
      </c>
      <c r="I126" s="1090"/>
    </row>
    <row r="127" spans="1:9" x14ac:dyDescent="0.25">
      <c r="B127" s="1049"/>
      <c r="C127" s="1049"/>
      <c r="D127" s="1049"/>
      <c r="E127" s="1049"/>
      <c r="H127" s="1088" t="s">
        <v>1231</v>
      </c>
      <c r="I127" s="1089" t="e">
        <f>I125/I126</f>
        <v>#DIV/0!</v>
      </c>
    </row>
    <row r="135" spans="1:13" ht="15.75" x14ac:dyDescent="0.25">
      <c r="A135" s="1527" t="s">
        <v>1235</v>
      </c>
      <c r="B135" s="1527"/>
      <c r="C135" s="1527"/>
      <c r="D135" s="1044" t="s">
        <v>431</v>
      </c>
      <c r="H135" s="1527" t="s">
        <v>1236</v>
      </c>
      <c r="I135" s="1527"/>
      <c r="J135" s="1527"/>
    </row>
    <row r="136" spans="1:13" x14ac:dyDescent="0.25">
      <c r="H136" s="1062" t="s">
        <v>1195</v>
      </c>
      <c r="I136" s="1063" t="s">
        <v>1196</v>
      </c>
      <c r="J136" s="1088" t="s">
        <v>1232</v>
      </c>
      <c r="K136" s="1064"/>
      <c r="M136" s="1064"/>
    </row>
    <row r="137" spans="1:13" x14ac:dyDescent="0.25">
      <c r="A137" s="1064" t="s">
        <v>336</v>
      </c>
      <c r="B137" s="1090"/>
      <c r="H137" s="1094"/>
      <c r="I137" s="1094"/>
      <c r="J137" s="1093">
        <f>((90-H137)/90)+(I137*K137)</f>
        <v>1</v>
      </c>
      <c r="K137" s="1092">
        <f>H137/90</f>
        <v>0</v>
      </c>
      <c r="M137" s="1064"/>
    </row>
    <row r="138" spans="1:13" x14ac:dyDescent="0.25">
      <c r="A138" s="1064" t="s">
        <v>337</v>
      </c>
      <c r="B138" s="1090"/>
      <c r="H138" s="1094"/>
      <c r="I138" s="1094"/>
      <c r="J138" s="1093"/>
      <c r="K138" s="1092">
        <f>H138/90</f>
        <v>0</v>
      </c>
      <c r="M138" s="1064"/>
    </row>
    <row r="139" spans="1:13" x14ac:dyDescent="0.25">
      <c r="H139" s="1094"/>
      <c r="I139" s="1094"/>
      <c r="J139" s="1093"/>
      <c r="K139" s="1092">
        <f>H139/90</f>
        <v>0</v>
      </c>
      <c r="M139" s="1064"/>
    </row>
    <row r="140" spans="1:13" x14ac:dyDescent="0.25">
      <c r="D140" s="1065"/>
      <c r="H140" s="1094"/>
      <c r="I140" s="1094"/>
      <c r="J140" s="1093"/>
      <c r="K140" s="1092">
        <f>H140/90</f>
        <v>0</v>
      </c>
      <c r="M140" s="1064"/>
    </row>
    <row r="141" spans="1:13" x14ac:dyDescent="0.25">
      <c r="A141" s="1044" t="s">
        <v>1158</v>
      </c>
      <c r="B141" s="1091" t="e">
        <f>POWER(0.2996,B137/B138)</f>
        <v>#DIV/0!</v>
      </c>
      <c r="H141" s="1531" t="s">
        <v>434</v>
      </c>
      <c r="I141" s="1532"/>
      <c r="J141" s="1093">
        <f>((90-H142)/90)+(I137*K137)+(I138*K138)+(I139*K139)+(I140*K140)</f>
        <v>1</v>
      </c>
      <c r="K141" s="1064"/>
      <c r="M141" s="1064"/>
    </row>
    <row r="142" spans="1:13" x14ac:dyDescent="0.25">
      <c r="H142" s="1092">
        <f>SUM(H137:H140)</f>
        <v>0</v>
      </c>
      <c r="I142" s="1064"/>
      <c r="J142" s="1064"/>
      <c r="K142" s="1064"/>
      <c r="L142" s="1064"/>
      <c r="M142" s="1064"/>
    </row>
    <row r="143" spans="1:13" x14ac:dyDescent="0.25">
      <c r="A143" s="1529"/>
      <c r="B143" s="1529"/>
      <c r="H143" s="1530"/>
      <c r="I143" s="1530"/>
      <c r="J143" s="1530"/>
      <c r="K143" s="1530"/>
      <c r="L143" s="1064"/>
      <c r="M143" s="1064"/>
    </row>
    <row r="144" spans="1:13" x14ac:dyDescent="0.25">
      <c r="A144" s="1529"/>
      <c r="B144" s="1529"/>
      <c r="H144" s="1530"/>
      <c r="I144" s="1530"/>
      <c r="J144" s="1530"/>
      <c r="K144" s="1530"/>
      <c r="L144" s="1064"/>
      <c r="M144" s="1064"/>
    </row>
    <row r="145" spans="1:17" x14ac:dyDescent="0.25">
      <c r="A145" s="1529"/>
      <c r="B145" s="1529"/>
      <c r="H145" s="1530"/>
      <c r="I145" s="1530"/>
      <c r="J145" s="1530"/>
      <c r="K145" s="1530"/>
    </row>
    <row r="146" spans="1:17" x14ac:dyDescent="0.25">
      <c r="A146" s="1529"/>
      <c r="B146" s="1529"/>
      <c r="H146" s="1530"/>
      <c r="I146" s="1530"/>
      <c r="J146" s="1530"/>
      <c r="K146" s="1530"/>
    </row>
    <row r="148" spans="1:17" ht="15.75" x14ac:dyDescent="0.25">
      <c r="A148" s="1043" t="s">
        <v>1194</v>
      </c>
    </row>
    <row r="152" spans="1:17" x14ac:dyDescent="0.25">
      <c r="M152" s="1524"/>
      <c r="N152" s="1524"/>
      <c r="O152" s="1524"/>
      <c r="P152" s="1524"/>
      <c r="Q152" s="1524"/>
    </row>
    <row r="153" spans="1:17" x14ac:dyDescent="0.25">
      <c r="M153" s="1524"/>
      <c r="N153" s="1524"/>
      <c r="O153" s="1524"/>
      <c r="P153" s="1524"/>
      <c r="Q153" s="1524"/>
    </row>
    <row r="154" spans="1:17" x14ac:dyDescent="0.25">
      <c r="M154" s="1524"/>
      <c r="N154" s="1524"/>
      <c r="O154" s="1524"/>
      <c r="P154" s="1524"/>
      <c r="Q154" s="1524"/>
    </row>
    <row r="155" spans="1:17" x14ac:dyDescent="0.25">
      <c r="M155" s="1524"/>
      <c r="N155" s="1524"/>
      <c r="O155" s="1524"/>
      <c r="P155" s="1524"/>
      <c r="Q155" s="1524"/>
    </row>
    <row r="156" spans="1:17" x14ac:dyDescent="0.25">
      <c r="M156" s="1524"/>
      <c r="N156" s="1524"/>
      <c r="O156" s="1524"/>
      <c r="P156" s="1524"/>
      <c r="Q156" s="1524"/>
    </row>
  </sheetData>
  <mergeCells count="13">
    <mergeCell ref="A84:B87"/>
    <mergeCell ref="B116:D116"/>
    <mergeCell ref="A143:B146"/>
    <mergeCell ref="H143:K146"/>
    <mergeCell ref="H141:I141"/>
    <mergeCell ref="A135:C135"/>
    <mergeCell ref="M152:Q156"/>
    <mergeCell ref="J8:J10"/>
    <mergeCell ref="J18:J20"/>
    <mergeCell ref="L6:P6"/>
    <mergeCell ref="L16:P16"/>
    <mergeCell ref="K55:O58"/>
    <mergeCell ref="H135:J135"/>
  </mergeCells>
  <pageMargins left="0.7" right="0.7" top="0.75" bottom="0.75" header="0.3" footer="0.3"/>
  <drawing r:id="rId1"/>
  <legacyDrawing r:id="rId2"/>
  <oleObjects>
    <mc:AlternateContent xmlns:mc="http://schemas.openxmlformats.org/markup-compatibility/2006">
      <mc:Choice Requires="x14">
        <oleObject progId="CorelPhotoPaint.Image.8" shapeId="25601" r:id="rId3">
          <objectPr defaultSize="0" autoPict="0" r:id="rId4">
            <anchor moveWithCells="1">
              <from>
                <xdr:col>0</xdr:col>
                <xdr:colOff>219075</xdr:colOff>
                <xdr:row>5</xdr:row>
                <xdr:rowOff>104775</xdr:rowOff>
              </from>
              <to>
                <xdr:col>2</xdr:col>
                <xdr:colOff>66675</xdr:colOff>
                <xdr:row>16</xdr:row>
                <xdr:rowOff>161925</xdr:rowOff>
              </to>
            </anchor>
          </objectPr>
        </oleObject>
      </mc:Choice>
      <mc:Fallback>
        <oleObject progId="CorelPhotoPaint.Image.8" shapeId="25601" r:id="rId3"/>
      </mc:Fallback>
    </mc:AlternateContent>
  </oleObjec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3</vt:i4>
      </vt:variant>
    </vt:vector>
  </HeadingPairs>
  <TitlesOfParts>
    <vt:vector size="24" baseType="lpstr">
      <vt:lpstr>Inicio</vt:lpstr>
      <vt:lpstr>CE_Chile</vt:lpstr>
      <vt:lpstr>Datos Informe y Etiqueta</vt:lpstr>
      <vt:lpstr>Resultados Detallados</vt:lpstr>
      <vt:lpstr>Certificado</vt:lpstr>
      <vt:lpstr>Notas1</vt:lpstr>
      <vt:lpstr>Notas2</vt:lpstr>
      <vt:lpstr>Notas3</vt:lpstr>
      <vt:lpstr>Calculo Fa</vt:lpstr>
      <vt:lpstr>Vivienda Objeto</vt:lpstr>
      <vt:lpstr>Referencia</vt:lpstr>
      <vt:lpstr>R1</vt:lpstr>
      <vt:lpstr>R2</vt:lpstr>
      <vt:lpstr>R3</vt:lpstr>
      <vt:lpstr>R4</vt:lpstr>
      <vt:lpstr>R5</vt:lpstr>
      <vt:lpstr>R6</vt:lpstr>
      <vt:lpstr>Versiones</vt:lpstr>
      <vt:lpstr>R7</vt:lpstr>
      <vt:lpstr>Hoja2</vt:lpstr>
      <vt:lpstr>Cambios Realizados</vt:lpstr>
      <vt:lpstr>Certificado!Área_de_impresión</vt:lpstr>
      <vt:lpstr>'R4'!Área_de_impresión</vt:lpstr>
      <vt:lpstr>Referencia!Área_de_impresión</vt:lpstr>
    </vt:vector>
  </TitlesOfParts>
  <Company>Dark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lporto</dc:creator>
  <cp:lastModifiedBy>Oscar Ortiz Sepulveda</cp:lastModifiedBy>
  <cp:lastPrinted>2013-06-15T21:30:04Z</cp:lastPrinted>
  <dcterms:created xsi:type="dcterms:W3CDTF">2008-08-28T13:54:46Z</dcterms:created>
  <dcterms:modified xsi:type="dcterms:W3CDTF">2014-02-18T15:27:10Z</dcterms:modified>
</cp:coreProperties>
</file>