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tables/table1.xml" ContentType="application/vnd.openxmlformats-officedocument.spreadsheetml.table+xml"/>
  <Override PartName="/xl/drawings/drawing3.xml" ContentType="application/vnd.openxmlformats-officedocument.drawing+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427"/>
  <workbookPr/>
  <mc:AlternateContent xmlns:mc="http://schemas.openxmlformats.org/markup-compatibility/2006">
    <mc:Choice Requires="x15">
      <x15ac:absPath xmlns:x15ac="http://schemas.microsoft.com/office/spreadsheetml/2010/11/ac" url="https://minvuchile-my.sharepoint.com/personal/xirazoqui_minvu_cl/Documents/08. Habitabilidad/Herramientas de cálculo/U Ventanas/"/>
    </mc:Choice>
  </mc:AlternateContent>
  <xr:revisionPtr revIDLastSave="41" documentId="11_8FFB64394080441C4C0B5A4F7A73E97966A6E8D5" xr6:coauthVersionLast="47" xr6:coauthVersionMax="47" xr10:uidLastSave="{0326FC3A-1B9A-4543-9B3A-DA05C20F7AD5}"/>
  <workbookProtection workbookAlgorithmName="SHA-512" workbookHashValue="C3EmRWkdWrakAG/KTMwWrN9e0udhf90fCI5F6YfeXZSKOJiEKgl85QLzhyD/YNZRIRxrPVYiWvKhfmaamGXRNQ==" workbookSaltValue="q5Hxdp+ohv7ZFf1f6T1RJQ==" workbookSpinCount="100000" lockStructure="1"/>
  <bookViews>
    <workbookView xWindow="20370" yWindow="-1320" windowWidth="21840" windowHeight="13140" xr2:uid="{00000000-000D-0000-FFFF-FFFF00000000}"/>
  </bookViews>
  <sheets>
    <sheet name="Instrucciones" sheetId="6" r:id="rId1"/>
    <sheet name="Datos" sheetId="2" r:id="rId2"/>
    <sheet name="Cálculos" sheetId="1" state="hidden" r:id="rId3"/>
    <sheet name="imágenes" sheetId="5" state="hidden" r:id="rId4"/>
    <sheet name="Aux" sheetId="3" state="hidden" r:id="rId5"/>
  </sheets>
  <definedNames>
    <definedName name="A_gas">Aux!$K$11</definedName>
    <definedName name="Af" localSheetId="2">Cálculos!$D$8</definedName>
    <definedName name="Ag" localSheetId="2">Cálculos!$D$9</definedName>
    <definedName name="alfa" localSheetId="2">Cálculos!$I$17</definedName>
    <definedName name="alto" localSheetId="2">Cálculos!$D$4</definedName>
    <definedName name="ancho" localSheetId="2">Cálculos!$D$3</definedName>
    <definedName name="ancho_marco" localSheetId="2">Cálculos!$K$17</definedName>
    <definedName name="aporte_espaciador">Cálculos!$I$41</definedName>
    <definedName name="aporte_marco">Cálculos!$I$39</definedName>
    <definedName name="aporte_vidriado">Cálculos!$I$40</definedName>
    <definedName name="_xlnm.Print_Area" localSheetId="1">Datos!$B$1:$AG$42</definedName>
    <definedName name="Aw" localSheetId="2">Cálculos!$D$5</definedName>
    <definedName name="caso" localSheetId="2">Cálculos!$I$15</definedName>
    <definedName name="cgas" localSheetId="2">Cálculos!$Q$7</definedName>
    <definedName name="Configuración" localSheetId="2">Cálculos!$I$13</definedName>
    <definedName name="d" localSheetId="2">Cálculos!$C$24</definedName>
    <definedName name="df" localSheetId="2">Cálculos!$C$18</definedName>
    <definedName name="fm" localSheetId="2">Cálculos!$D$6</definedName>
    <definedName name="Grgas" localSheetId="2">Cálculos!$T$4</definedName>
    <definedName name="Junta_apertura" localSheetId="2">Cálculos!$D$10</definedName>
    <definedName name="lambda_vidrio" localSheetId="2">Aux!$E$33</definedName>
    <definedName name="lg" localSheetId="2">Cálculos!$K$19</definedName>
    <definedName name="lg_calc" localSheetId="2">Cálculos!$I$19</definedName>
    <definedName name="n_gas">Aux!$K$10</definedName>
    <definedName name="Nu_gas" localSheetId="2">Cálculos!$T$3</definedName>
    <definedName name="opción_sup_Ventana">Cálculos!$B$7</definedName>
    <definedName name="opciones_tipo_cierre">Cálculos!$M$14:$M$16</definedName>
    <definedName name="Pr_gas" localSheetId="2">Cálculos!$T$5</definedName>
    <definedName name="proporción_defecto">Aux!$I$60</definedName>
    <definedName name="Rf_metálico" localSheetId="2">Cálculos!$C$25</definedName>
    <definedName name="Rse">Aux!$K$14</definedName>
    <definedName name="Rsi">Aux!$K$13</definedName>
    <definedName name="tipo_categoría_marco">Cálculos!$C$14</definedName>
    <definedName name="tipo_cierre">Cálculos!$I$14</definedName>
    <definedName name="tipo_espaciador_1">Cálculos!$M$6</definedName>
    <definedName name="tipo_espaciador_2" localSheetId="2">Cálculos!$M$8</definedName>
    <definedName name="tipo_marco">Cálculos!$C$13</definedName>
    <definedName name="tipo_vidriado">Cálculos!$I$3</definedName>
    <definedName name="Tm_gas_defecto">Aux!$K$6</definedName>
    <definedName name="txt_cálculo">Cálculos!$H$44</definedName>
    <definedName name="txt_campo_numérico">Cálculos!$D$32</definedName>
    <definedName name="txt_espaciador">Cálculos!$L$6</definedName>
    <definedName name="txt_marco">Cálculos!$H$44</definedName>
    <definedName name="txt_R_cámara_aire">Aux!$G$64</definedName>
    <definedName name="txt_transmitancia_marco">Aux!$G$62</definedName>
    <definedName name="txt_Vidrio">Cálculos!$H$5</definedName>
    <definedName name="Uf" localSheetId="2">Cálculos!$D$12</definedName>
    <definedName name="Uf_Metal_sin_RPT">Aux!$P$29</definedName>
    <definedName name="Ug" localSheetId="2">Cálculos!$J$2</definedName>
    <definedName name="Uw" localSheetId="2">Cálculos!$J$37</definedName>
    <definedName name="ΔT_gas_defecto">Aux!$K$5</definedName>
    <definedName name="ε_vidrio_defecto">Aux!$K$4</definedName>
    <definedName name="λgas" localSheetId="2">Cálculos!$Q$6</definedName>
    <definedName name="μgas" localSheetId="2">Cálculos!$Q$5</definedName>
    <definedName name="ρgas" localSheetId="2">Cálculos!$Q$4</definedName>
    <definedName name="σ">Aux!$K$7</definedName>
    <definedName name="Ψg" localSheetId="2">Cálculos!$J$12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N6" i="1" l="1"/>
  <c r="M6" i="1" s="1"/>
  <c r="I17" i="1" l="1"/>
  <c r="G63" i="3" l="1"/>
  <c r="C23" i="1" l="1"/>
  <c r="C22" i="1"/>
  <c r="N9" i="1" l="1"/>
  <c r="M9" i="1" s="1"/>
  <c r="N7" i="1"/>
  <c r="M7" i="1" s="1"/>
  <c r="N5" i="1"/>
  <c r="M5" i="1" s="1"/>
  <c r="I9" i="1"/>
  <c r="K9" i="1" s="1"/>
  <c r="I8" i="1"/>
  <c r="C30" i="1"/>
  <c r="D13" i="1"/>
  <c r="C14" i="1" s="1"/>
  <c r="L7" i="1"/>
  <c r="C13" i="1" l="1"/>
  <c r="D14" i="1"/>
  <c r="D32" i="1" l="1"/>
  <c r="C16" i="2" s="1"/>
  <c r="C18" i="1"/>
  <c r="C19" i="1" s="1"/>
  <c r="C24" i="1"/>
  <c r="C25" i="1" s="1"/>
  <c r="C26" i="1" s="1"/>
  <c r="D12" i="1" l="1"/>
  <c r="E25" i="2" l="1"/>
  <c r="L5" i="1"/>
  <c r="T7" i="1" s="1"/>
  <c r="B3" i="3"/>
  <c r="B4" i="3"/>
  <c r="B5" i="3"/>
  <c r="B6" i="3"/>
  <c r="B7" i="3"/>
  <c r="B8" i="3"/>
  <c r="B9" i="3"/>
  <c r="B10" i="3"/>
  <c r="B11" i="3"/>
  <c r="B12" i="3"/>
  <c r="B13" i="3"/>
  <c r="B14" i="3"/>
  <c r="B15" i="3"/>
  <c r="B16" i="3"/>
  <c r="B17" i="3"/>
  <c r="B18" i="3"/>
  <c r="B19" i="3"/>
  <c r="B20" i="3"/>
  <c r="B21" i="3"/>
  <c r="B22" i="3"/>
  <c r="Q7" i="1" l="1"/>
  <c r="Q4" i="1"/>
  <c r="Q5" i="1"/>
  <c r="Q6" i="1"/>
  <c r="T5" i="1" l="1"/>
  <c r="N8" i="1" l="1"/>
  <c r="D4" i="1" l="1"/>
  <c r="I5" i="1"/>
  <c r="K5" i="1" s="1"/>
  <c r="J14" i="1"/>
  <c r="I14" i="1" s="1"/>
  <c r="D6" i="1"/>
  <c r="I6" i="1"/>
  <c r="I7" i="1"/>
  <c r="K7" i="1" s="1"/>
  <c r="J3" i="1"/>
  <c r="I3" i="1" s="1"/>
  <c r="D3" i="1" l="1"/>
  <c r="D5" i="1" s="1"/>
  <c r="J13" i="1"/>
  <c r="K6" i="1"/>
  <c r="J2" i="1" s="1"/>
  <c r="O25" i="2" s="1"/>
  <c r="T4" i="1"/>
  <c r="T3" i="1" s="1"/>
  <c r="T6" i="1" s="1"/>
  <c r="T8" i="1" s="1"/>
  <c r="S2" i="1" s="1"/>
  <c r="L6" i="1"/>
  <c r="O15" i="2" s="1"/>
  <c r="H5" i="1"/>
  <c r="O14" i="2" s="1"/>
  <c r="J12" i="1"/>
  <c r="Z25" i="2" s="1"/>
  <c r="M18" i="1" l="1" a="1"/>
  <c r="M18" i="1" s="1"/>
  <c r="M17" i="1" a="1"/>
  <c r="M17" i="1" s="1"/>
  <c r="I13" i="1"/>
  <c r="I15" i="1" s="1"/>
  <c r="M16" i="1" a="1"/>
  <c r="M16" i="1" s="1"/>
  <c r="M14" i="1" a="1"/>
  <c r="M14" i="1" s="1"/>
  <c r="M15" i="1" a="1"/>
  <c r="M15" i="1" s="1"/>
  <c r="D9" i="1"/>
  <c r="D8" i="1"/>
  <c r="H6" i="2"/>
  <c r="T6" i="2" l="1"/>
  <c r="I23" i="1"/>
  <c r="I26" i="1"/>
  <c r="I24" i="1"/>
  <c r="I22" i="1"/>
  <c r="I27" i="1"/>
  <c r="I25" i="1"/>
  <c r="I28" i="1"/>
  <c r="K25" i="1" l="1"/>
  <c r="J25" i="1"/>
  <c r="K27" i="1"/>
  <c r="J27" i="1"/>
  <c r="K17" i="1"/>
  <c r="K22" i="1"/>
  <c r="J22" i="1"/>
  <c r="K24" i="1"/>
  <c r="J24" i="1"/>
  <c r="K26" i="1"/>
  <c r="J26" i="1"/>
  <c r="K23" i="1"/>
  <c r="J23" i="1"/>
  <c r="K28" i="1"/>
  <c r="J28" i="1"/>
  <c r="K18" i="1" l="1"/>
  <c r="M26" i="1"/>
  <c r="L26" i="1"/>
  <c r="M23" i="1"/>
  <c r="L23" i="1"/>
  <c r="L27" i="1"/>
  <c r="M27" i="1"/>
  <c r="L25" i="1"/>
  <c r="M25" i="1"/>
  <c r="L28" i="1"/>
  <c r="M28" i="1"/>
  <c r="M22" i="1"/>
  <c r="L22" i="1"/>
  <c r="I18" i="1"/>
  <c r="M24" i="1"/>
  <c r="L24" i="1"/>
  <c r="I19" i="1" l="1"/>
  <c r="X19" i="2" s="1"/>
  <c r="D10" i="1"/>
  <c r="H8" i="2" s="1"/>
  <c r="K19" i="1" l="1"/>
  <c r="I39" i="1" s="1"/>
  <c r="L37" i="1" l="1"/>
  <c r="J37" i="1" s="1"/>
  <c r="P31" i="2" s="1"/>
  <c r="I41" i="1"/>
  <c r="AB34" i="2" s="1"/>
  <c r="I40" i="1"/>
  <c r="AB33" i="2" s="1"/>
  <c r="J36" i="1"/>
  <c r="AB32" i="2"/>
  <c r="AD32" i="2"/>
  <c r="AD33" i="2" l="1"/>
  <c r="AD34" i="2"/>
  <c r="H44" i="1"/>
  <c r="B37" i="2" s="1"/>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<sst xmlns="http://schemas.openxmlformats.org/spreadsheetml/2006/main" count="374" uniqueCount="255">
  <si>
    <t>Uw</t>
  </si>
  <si>
    <t>Ag</t>
  </si>
  <si>
    <t>Ug</t>
  </si>
  <si>
    <t>Af</t>
  </si>
  <si>
    <t>Uf</t>
  </si>
  <si>
    <t>lg</t>
  </si>
  <si>
    <t>espaciador</t>
  </si>
  <si>
    <t>Vidrio 2</t>
  </si>
  <si>
    <t>Aire</t>
  </si>
  <si>
    <t>Argón</t>
  </si>
  <si>
    <t>Kriptón</t>
  </si>
  <si>
    <t>Xenón</t>
  </si>
  <si>
    <t>SF6</t>
  </si>
  <si>
    <t>densidad</t>
  </si>
  <si>
    <t>viscosidad dinámica</t>
  </si>
  <si>
    <t>conductividad</t>
  </si>
  <si>
    <t>calor específico</t>
  </si>
  <si>
    <t>temperatura</t>
  </si>
  <si>
    <t>gas</t>
  </si>
  <si>
    <t>hg</t>
  </si>
  <si>
    <t xml:space="preserve">Nu </t>
  </si>
  <si>
    <t>Gases</t>
  </si>
  <si>
    <t>λgas</t>
  </si>
  <si>
    <t>sgas</t>
  </si>
  <si>
    <t>A</t>
  </si>
  <si>
    <t>Gr</t>
  </si>
  <si>
    <t>Pr</t>
  </si>
  <si>
    <t>ρgas</t>
  </si>
  <si>
    <t>cgas</t>
  </si>
  <si>
    <t>llave</t>
  </si>
  <si>
    <t>m</t>
  </si>
  <si>
    <r>
      <t>kg/m</t>
    </r>
    <r>
      <rPr>
        <sz val="11"/>
        <color theme="1"/>
        <rFont val="Calibri"/>
        <family val="2"/>
      </rPr>
      <t>³</t>
    </r>
  </si>
  <si>
    <t>ΔT</t>
  </si>
  <si>
    <t>Tm</t>
  </si>
  <si>
    <t>ε</t>
  </si>
  <si>
    <t>σ</t>
  </si>
  <si>
    <t>he</t>
  </si>
  <si>
    <t>hi</t>
  </si>
  <si>
    <t>n</t>
  </si>
  <si>
    <t>K</t>
  </si>
  <si>
    <r>
      <t>W/(m</t>
    </r>
    <r>
      <rPr>
        <sz val="11"/>
        <color theme="1"/>
        <rFont val="Calibri"/>
        <family val="2"/>
      </rPr>
      <t>²K⁴</t>
    </r>
    <r>
      <rPr>
        <sz val="11"/>
        <color theme="1"/>
        <rFont val="Calibri"/>
        <family val="2"/>
        <scheme val="minor"/>
      </rPr>
      <t>)</t>
    </r>
  </si>
  <si>
    <r>
      <t>W/(m</t>
    </r>
    <r>
      <rPr>
        <sz val="11"/>
        <color theme="1"/>
        <rFont val="Calibri"/>
        <family val="2"/>
      </rPr>
      <t>²K</t>
    </r>
    <r>
      <rPr>
        <sz val="11"/>
        <color theme="1"/>
        <rFont val="Calibri"/>
        <family val="2"/>
        <scheme val="minor"/>
      </rPr>
      <t>)</t>
    </r>
  </si>
  <si>
    <t>entre superficies de vidrio que encierran el gas</t>
  </si>
  <si>
    <t>temperatura media del gas</t>
  </si>
  <si>
    <t>constante stefan boltzman</t>
  </si>
  <si>
    <t>coef de transferencia de calor exterior vidrio sin recubrimiento</t>
  </si>
  <si>
    <t>coef de transferencia de calor interior vidrio sin recubrimiento</t>
  </si>
  <si>
    <t>exponente</t>
  </si>
  <si>
    <t>emisividad vidrio sin recubrimiento</t>
  </si>
  <si>
    <t>μgas</t>
  </si>
  <si>
    <t>número de Nusselt</t>
  </si>
  <si>
    <t>número de Grashof</t>
  </si>
  <si>
    <t>número de Prandtl</t>
  </si>
  <si>
    <t>Rg</t>
  </si>
  <si>
    <t>λ</t>
  </si>
  <si>
    <t>Rsi</t>
  </si>
  <si>
    <t>Rse</t>
  </si>
  <si>
    <t>λvidrio</t>
  </si>
  <si>
    <r>
      <t>W/(m</t>
    </r>
    <r>
      <rPr>
        <sz val="11"/>
        <color theme="1"/>
        <rFont val="Calibri"/>
        <family val="2"/>
      </rPr>
      <t>K</t>
    </r>
    <r>
      <rPr>
        <sz val="11"/>
        <color theme="1"/>
        <rFont val="Calibri"/>
        <family val="2"/>
        <scheme val="minor"/>
      </rPr>
      <t>)</t>
    </r>
  </si>
  <si>
    <t>conductividad por defecto</t>
  </si>
  <si>
    <t>espesor</t>
  </si>
  <si>
    <t>0,1</t>
  </si>
  <si>
    <t>0,2</t>
  </si>
  <si>
    <t>0,4</t>
  </si>
  <si>
    <t>0,8</t>
  </si>
  <si>
    <t>Poliuretano con núcleo metálico</t>
  </si>
  <si>
    <t>material</t>
  </si>
  <si>
    <t>Perfil hueco de PVC, dos cámaras</t>
  </si>
  <si>
    <t>Perfil hueco de PVC, tres cámaras</t>
  </si>
  <si>
    <t>x</t>
  </si>
  <si>
    <t>y</t>
  </si>
  <si>
    <t>e</t>
  </si>
  <si>
    <t>mm</t>
  </si>
  <si>
    <r>
      <t>Madera blanda (</t>
    </r>
    <r>
      <rPr>
        <sz val="11"/>
        <color theme="1"/>
        <rFont val="Calibri"/>
        <family val="2"/>
      </rPr>
      <t>ρ=500 kg/m³</t>
    </r>
    <r>
      <rPr>
        <sz val="11"/>
        <color theme="1"/>
        <rFont val="Calibri"/>
        <family val="2"/>
        <scheme val="minor"/>
      </rPr>
      <t>)</t>
    </r>
  </si>
  <si>
    <r>
      <t>Madera dura (</t>
    </r>
    <r>
      <rPr>
        <sz val="11"/>
        <color theme="1"/>
        <rFont val="Calibri"/>
        <family val="2"/>
      </rPr>
      <t>ρ=700 kg/m³</t>
    </r>
    <r>
      <rPr>
        <sz val="11"/>
        <color theme="1"/>
        <rFont val="Calibri"/>
        <family val="2"/>
        <scheme val="minor"/>
      </rPr>
      <t>)</t>
    </r>
  </si>
  <si>
    <t>MARCO</t>
  </si>
  <si>
    <t>MADERA</t>
  </si>
  <si>
    <t>VIDRIO</t>
  </si>
  <si>
    <t>Madera</t>
  </si>
  <si>
    <t>PVC</t>
  </si>
  <si>
    <t>vidrio sin cubierta</t>
  </si>
  <si>
    <t>vidrio baja emisividad</t>
  </si>
  <si>
    <t>tipo marco</t>
  </si>
  <si>
    <t>Metal con RPT</t>
  </si>
  <si>
    <t>Metal sin RPT</t>
  </si>
  <si>
    <t>METÁLICO</t>
  </si>
  <si>
    <t>Af,i/Af,di</t>
  </si>
  <si>
    <t>Af,e/Af,de</t>
  </si>
  <si>
    <t>Rf</t>
  </si>
  <si>
    <t>PLÁSTICO</t>
  </si>
  <si>
    <t>fm</t>
  </si>
  <si>
    <t>alto</t>
  </si>
  <si>
    <t>ancho</t>
  </si>
  <si>
    <t>Marcos</t>
  </si>
  <si>
    <t>otros</t>
  </si>
  <si>
    <t>Vidriado</t>
  </si>
  <si>
    <t>DVH</t>
  </si>
  <si>
    <t>TVH</t>
  </si>
  <si>
    <t>tipo vidrio</t>
  </si>
  <si>
    <t>común incoloro</t>
  </si>
  <si>
    <t>vidriado</t>
  </si>
  <si>
    <t>materialidad</t>
  </si>
  <si>
    <t>tipo cierre</t>
  </si>
  <si>
    <t>ancho sección vidrio</t>
  </si>
  <si>
    <t>alto sección vidrio</t>
  </si>
  <si>
    <t>normal</t>
  </si>
  <si>
    <t>mejorado</t>
  </si>
  <si>
    <t>con lámina emisividad 0,8</t>
  </si>
  <si>
    <t>con lámina emisividad 0,4</t>
  </si>
  <si>
    <t>con lámina emisividad 0,2</t>
  </si>
  <si>
    <t>con lámina emisividad 0,1</t>
  </si>
  <si>
    <t>categoría marco</t>
  </si>
  <si>
    <t>Metal</t>
  </si>
  <si>
    <t>R</t>
  </si>
  <si>
    <t>Vidrio 3</t>
  </si>
  <si>
    <t>tipo</t>
  </si>
  <si>
    <t>ninguno</t>
  </si>
  <si>
    <t>d</t>
  </si>
  <si>
    <t>Sin superficie vidriada</t>
  </si>
  <si>
    <r>
      <t>m</t>
    </r>
    <r>
      <rPr>
        <sz val="11"/>
        <color theme="1"/>
        <rFont val="Calibri"/>
        <family val="2"/>
      </rPr>
      <t>²</t>
    </r>
    <r>
      <rPr>
        <sz val="11"/>
        <color theme="1"/>
        <rFont val="Calibri"/>
        <family val="2"/>
        <scheme val="minor"/>
      </rPr>
      <t>K/W</t>
    </r>
  </si>
  <si>
    <r>
      <t>W/m</t>
    </r>
    <r>
      <rPr>
        <sz val="11"/>
        <color theme="1"/>
        <rFont val="Calibri"/>
        <family val="2"/>
      </rPr>
      <t>²</t>
    </r>
    <r>
      <rPr>
        <sz val="11"/>
        <color theme="1"/>
        <rFont val="Calibri"/>
        <family val="2"/>
        <scheme val="minor"/>
      </rPr>
      <t>K</t>
    </r>
  </si>
  <si>
    <t>Condiciones de cálculo:</t>
  </si>
  <si>
    <t>Madera dura (ρ=700 kg/m³)</t>
  </si>
  <si>
    <t>Espaciador 2</t>
  </si>
  <si>
    <t>Marco:</t>
  </si>
  <si>
    <t>factor de marco:</t>
  </si>
  <si>
    <t>Área vidrio, Ag:</t>
  </si>
  <si>
    <r>
      <t>m</t>
    </r>
    <r>
      <rPr>
        <sz val="11"/>
        <color theme="1"/>
        <rFont val="Calibri"/>
        <family val="2"/>
      </rPr>
      <t>²</t>
    </r>
  </si>
  <si>
    <t>perímetro vidrio marco, lg:</t>
  </si>
  <si>
    <t>Alternativa 1:</t>
  </si>
  <si>
    <t>Alternativa 2:</t>
  </si>
  <si>
    <t>Proporción marco vidrio:</t>
  </si>
  <si>
    <t>Transmitancia térmica total de la ventana, Uw</t>
  </si>
  <si>
    <t>Transmitancias térmicas:</t>
  </si>
  <si>
    <t>Ug =</t>
  </si>
  <si>
    <r>
      <rPr>
        <sz val="18"/>
        <color theme="1"/>
        <rFont val="Calibri"/>
        <family val="2"/>
      </rPr>
      <t>Ψ</t>
    </r>
    <r>
      <rPr>
        <sz val="18"/>
        <color theme="1"/>
        <rFont val="Calibri"/>
        <family val="2"/>
        <scheme val="minor"/>
      </rPr>
      <t>g =</t>
    </r>
  </si>
  <si>
    <t>Cálculo térmico ventanas según NCh 3137-1</t>
  </si>
  <si>
    <t>Vidriado:</t>
  </si>
  <si>
    <t>Efecto marco-espaciador-vidriado:</t>
  </si>
  <si>
    <t>Resultado:</t>
  </si>
  <si>
    <t>(valor usuario)</t>
  </si>
  <si>
    <t>alternativa superficies ventana</t>
  </si>
  <si>
    <t>Uf =</t>
  </si>
  <si>
    <t>Área marco, Af:</t>
  </si>
  <si>
    <t>Dimensiones:</t>
  </si>
  <si>
    <t>Especificaciones marco y vidrio:</t>
  </si>
  <si>
    <t>Fecha:</t>
  </si>
  <si>
    <t>Guillotina</t>
  </si>
  <si>
    <t>Proyectante</t>
  </si>
  <si>
    <t>Abatible</t>
  </si>
  <si>
    <t>Corredera</t>
  </si>
  <si>
    <t>Nombre y firma Profesional:</t>
  </si>
  <si>
    <t>Ancho total:</t>
  </si>
  <si>
    <t>Alto total:</t>
  </si>
  <si>
    <t>Área total ventana, Aw:</t>
  </si>
  <si>
    <t>m²</t>
  </si>
  <si>
    <t>DIMENSIONES VENTANA</t>
  </si>
  <si>
    <t>RESULTADOS</t>
  </si>
  <si>
    <t>sin lámina</t>
  </si>
  <si>
    <t>Razón entre área de marco y área desarrollada de marco :</t>
  </si>
  <si>
    <t>Interior, Af/Af,di:</t>
  </si>
  <si>
    <t>Exterior, Af/Af,de:</t>
  </si>
  <si>
    <t>Aporte:</t>
  </si>
  <si>
    <t>lg calc</t>
  </si>
  <si>
    <t>Marco</t>
  </si>
  <si>
    <t>Espaciador</t>
  </si>
  <si>
    <t>Tipo de marco:</t>
  </si>
  <si>
    <t>Tipo de vidriado:</t>
  </si>
  <si>
    <t>Gas:</t>
  </si>
  <si>
    <t>Espesor</t>
  </si>
  <si>
    <t>Tipo</t>
  </si>
  <si>
    <t>Elemento</t>
  </si>
  <si>
    <t>Aw</t>
  </si>
  <si>
    <t>marco</t>
  </si>
  <si>
    <t>vidrio</t>
  </si>
  <si>
    <t>aporte</t>
  </si>
  <si>
    <t>campo numérico:</t>
  </si>
  <si>
    <t>ESPACIADOR</t>
  </si>
  <si>
    <t>INSTRUCCIONES DE USO</t>
  </si>
  <si>
    <r>
      <t>Aquí se indicarán los valores obtenidos de transmitancia térmica para el marco y vidrio en [W/m</t>
    </r>
    <r>
      <rPr>
        <sz val="11"/>
        <color theme="1"/>
        <rFont val="Calibri"/>
        <family val="2"/>
      </rPr>
      <t>²</t>
    </r>
    <r>
      <rPr>
        <sz val="11"/>
        <color theme="1"/>
        <rFont val="Calibri"/>
        <family val="2"/>
        <scheme val="minor"/>
      </rPr>
      <t>K] y la transmitancia térmica lineal del efecto marco-espaciador-vidrio. Cuando se trate de ventanas con vidrio simple, este último efecto se desprecia.</t>
    </r>
  </si>
  <si>
    <t>ancho marco</t>
  </si>
  <si>
    <r>
      <t>W/m</t>
    </r>
    <r>
      <rPr>
        <b/>
        <sz val="11"/>
        <color theme="0"/>
        <rFont val="Calibri"/>
        <family val="2"/>
      </rPr>
      <t>²</t>
    </r>
    <r>
      <rPr>
        <b/>
        <sz val="11"/>
        <color theme="0"/>
        <rFont val="Calibri"/>
        <family val="2"/>
        <scheme val="minor"/>
      </rPr>
      <t>K</t>
    </r>
  </si>
  <si>
    <t>Se muestra la transmitancia térmica total de la ventana, que cual se calcula como:</t>
  </si>
  <si>
    <t>en que:</t>
  </si>
  <si>
    <t>:</t>
  </si>
  <si>
    <t>Transmitancia térmica de la ventana en [W/m²K]</t>
  </si>
  <si>
    <t>Transmitancia térmica de la superficie de marco en [W/m²K]</t>
  </si>
  <si>
    <t>Superficie de marco en [m²]</t>
  </si>
  <si>
    <t>Transmitancia térmica de la superficie vidriada en [W/m²K]</t>
  </si>
  <si>
    <t>Superficie vidriada en [m²]</t>
  </si>
  <si>
    <t>Transmitancia térmica lineal por la interacción marco-espaciador-vidriado en [W/mK]</t>
  </si>
  <si>
    <t>Perimetro de contacto entre el vidriado y el marco en [m]</t>
  </si>
  <si>
    <t>Introducción:</t>
  </si>
  <si>
    <t>Resistencia térmica de la cámara de aire, Rs, para el cálculo de transmitancia térmica del vidriado,Ug, obtenido de Anexo C (Informativo).</t>
  </si>
  <si>
    <t>(valor estimado)</t>
  </si>
  <si>
    <t>Transmitancia térmica del marco, Uf obtenido de Anexo D (Informativo).</t>
  </si>
  <si>
    <t>lambda vidrio</t>
  </si>
  <si>
    <t>Uw calc</t>
  </si>
  <si>
    <r>
      <rPr>
        <b/>
        <sz val="11"/>
        <color theme="1"/>
        <rFont val="Calibri"/>
        <family val="2"/>
        <scheme val="minor"/>
      </rPr>
      <t>NOTA</t>
    </r>
    <r>
      <rPr>
        <sz val="11"/>
        <color theme="1"/>
        <rFont val="Calibri"/>
        <family val="2"/>
        <scheme val="minor"/>
      </rPr>
      <t>: En el caso de ventanas con marco de metal sin RPT y vidrio simple es posible obtener por cálculo transmitancias térmicas totales con valores mayores a 5,8 [W/m²K], en cuyo caso y para efectos de acreditar cumplimiento del comportamiento térmico se asumirá que el valor es 5,8.</t>
    </r>
  </si>
  <si>
    <t>Fija</t>
  </si>
  <si>
    <t>1 hoja</t>
  </si>
  <si>
    <t>Uf madera</t>
  </si>
  <si>
    <t>Se deben ingresar las dimensiones principales de la ventana en milímetros, con lo cual la planilla entregará la superficie total en metros cuadrados. Para indicar la proporción de marco y vidrio se presentan dos alternativas:
-Alternativa 1: Se ingresan por separado las superficies de marco y vidrio, en metros cuadrados. Se recomienda elegir esta alternativa en el caso de ventanas que se compongan de varios paños (por ej. paño fijo inferior y ventana proyectante superior);
-Alternativa 2: Se ingresa el factor de marco, correspondiente a la razón entre la superficie de vidrio y la superficie total.</t>
  </si>
  <si>
    <t>e=(W+H)/4+raiz((W+H)^2-4Af)/4</t>
  </si>
  <si>
    <t>e=(4W+5H)/40+raiz((4W+5H)^2-80Af)/40</t>
  </si>
  <si>
    <t>e=(W(a+1)+2H)/14+raiz((W(a+1)+2H)^2-14Af)/14, a = la razón del paño operable respecto de la superficie total de la ventana</t>
  </si>
  <si>
    <t>e=(W(a+1)+3H)/20+raiz((W(a+1)+3H)^2-20Af)/20, a = la razón del paño operable respecto de la superficie total de la ventana</t>
  </si>
  <si>
    <t>e=(H(a+1)+2W)/14+raiz((H(a+1)+2W)^2-14Af)/14, a = la razón del paño operable respecto de la superficie total de la ventana</t>
  </si>
  <si>
    <t>e=(W+2H)/16+raiz((W+2H)^2-8Af)/16</t>
  </si>
  <si>
    <t>e=(H(a+1)+3W)/20+raiz((H(a+1)+3W)^2-20Af)/20, a = la razón del paño operable respecto de la superficie total de la ventana</t>
  </si>
  <si>
    <t>2 hojas, 1 fija lateral</t>
  </si>
  <si>
    <t>2 hojas, 1 fija inferior</t>
  </si>
  <si>
    <t>Configuración:</t>
  </si>
  <si>
    <t>Configuración</t>
  </si>
  <si>
    <t>caso</t>
  </si>
  <si>
    <t>alfa</t>
  </si>
  <si>
    <t>CASO 1: 1 hoja proyectante, abatible, fija</t>
  </si>
  <si>
    <t>CASO 2: hoja corredera y 1 fija lateral</t>
  </si>
  <si>
    <t>CASO 3: 1 hoja proyectante/abatible y 1 fija lateral</t>
  </si>
  <si>
    <t>CASO 4: 1 hoja guillotina y 1 fija inferior</t>
  </si>
  <si>
    <t>CASO 5: 1 hoja proyectante/abatible y 1 fija inferior</t>
  </si>
  <si>
    <t>CASO 6: 2 hojas corredera (ambas móviles)</t>
  </si>
  <si>
    <t>CASO 7: 2 hojas laterales proyectantes, abatibles</t>
  </si>
  <si>
    <t>w</t>
  </si>
  <si>
    <t>h</t>
  </si>
  <si>
    <t>junta apertura</t>
  </si>
  <si>
    <t>desplegable:</t>
  </si>
  <si>
    <r>
      <rPr>
        <b/>
        <sz val="11"/>
        <color theme="0"/>
        <rFont val="Calibri"/>
        <family val="2"/>
      </rPr>
      <t>Ψ</t>
    </r>
    <r>
      <rPr>
        <b/>
        <sz val="11"/>
        <color theme="0"/>
        <rFont val="Calibri"/>
        <family val="2"/>
        <scheme val="minor"/>
      </rPr>
      <t>g</t>
    </r>
  </si>
  <si>
    <t>descripción</t>
  </si>
  <si>
    <t>1 hoja proyectante/abatible y 1 fija lateral</t>
  </si>
  <si>
    <t>1 hoja guillotina y 1 fija inferior</t>
  </si>
  <si>
    <t>1 hoja proyectante/abatible y 1 fija inferior</t>
  </si>
  <si>
    <t>2 hojas corredera (ambas móviles)</t>
  </si>
  <si>
    <t>2 hojas laterales proyectantes, abatibles</t>
  </si>
  <si>
    <t>1 hoja corredera y 1 fija lateral</t>
  </si>
  <si>
    <t>1 hoja proyectante, abatible o fija</t>
  </si>
  <si>
    <t>Junta apertura</t>
  </si>
  <si>
    <r>
      <t>W/m</t>
    </r>
    <r>
      <rPr>
        <b/>
        <sz val="11"/>
        <color theme="0"/>
        <rFont val="Calibri"/>
        <family val="2"/>
        <scheme val="minor"/>
      </rPr>
      <t>K</t>
    </r>
  </si>
  <si>
    <t>proporción hoja móvil por defecto</t>
  </si>
  <si>
    <t>Simple</t>
  </si>
  <si>
    <t>Junta:</t>
  </si>
  <si>
    <t>2 hojas móviles laterales</t>
  </si>
  <si>
    <t>hr</t>
  </si>
  <si>
    <t>hs</t>
  </si>
  <si>
    <t>J/(kgK)</t>
  </si>
  <si>
    <t>W/(mK)</t>
  </si>
  <si>
    <t>kg/(ms)</t>
  </si>
  <si>
    <t>GAS INTERIOR EN 673</t>
  </si>
  <si>
    <r>
      <t>m</t>
    </r>
    <r>
      <rPr>
        <b/>
        <sz val="11"/>
        <color theme="0"/>
        <rFont val="Calibri"/>
        <family val="2"/>
      </rPr>
      <t>²</t>
    </r>
    <r>
      <rPr>
        <b/>
        <sz val="11"/>
        <color theme="0"/>
        <rFont val="Calibri"/>
        <family val="2"/>
        <scheme val="minor"/>
      </rPr>
      <t>K/W</t>
    </r>
  </si>
  <si>
    <r>
      <t>Se debe seleccionar el tipo de configuración de ventana de entre las alternativas disponibles. Dependiendo de la opción de configuración elegida, el usuario debe seleccionar el tipo de cierre de entre las alternativas disponibles. 
Se debe indicar mediante listas desplegables el tipo de marco y vidriado de la ventana, los cuales harán aparecer nuevas opciones:
*En el caso de los marcos:
 -Al seleccionar el tipo "madera" se debe indicar la profundidad o el espesor total del marco. En caso de no ingresar un valor, se asumirá una profundidad de 50 mm. Para el cálculo se considera una madera "dura", de unos 700 kg/m</t>
    </r>
    <r>
      <rPr>
        <sz val="11"/>
        <color theme="1"/>
        <rFont val="Calibri"/>
        <family val="2"/>
      </rPr>
      <t>³, según la norma.</t>
    </r>
    <r>
      <rPr>
        <sz val="11"/>
        <color theme="1"/>
        <rFont val="Calibri"/>
        <family val="2"/>
        <scheme val="minor"/>
      </rPr>
      <t xml:space="preserve">
 -Al seleccionar "Metal con RPT" (RPT = rotura de puente térmico) se debe indicar la mínima separación entre las caras opuestas del perfil metálico que corresponda, tal como se explica en el Anexo D de la norma. En caso de no ingresar un valor, se asumirá una separación de 10 mm.
-Para el caso de marcos de PVC, se considerará un perfil hueco con dos cámaras vacías, con un ancho mínimo de 5 mm, según Anexo D de la norma.
*En el caso de vidrios:
-Al seleccionar vidrio simple, se debe indicar el espesor del vidrio y si es del tipo común o posee una lámina de baja emisividad
-En el caso de DVH (doble vidriado hermético), se deben indicar los espesores de ambos vidrios y el espesor del espaciador, así como si el vidrio es del tipo común o posee una lámina de baja emisividad. La planila estimará el perímetro de contacto entre el vidrio y el marco, en función de sus dimensiones, configuración y el tipo de cierre. No obstante, en aquellos casos donde la ventana tiene una configuración más compleja (por ejemplo una ventana compuesta por más de 2 paños), se permite ingresar un valor calculado por el usuario.</t>
    </r>
  </si>
  <si>
    <t>Además se indica en porcentaje cuánto incide en el resultado las características térmicas del marco, del vidriado y del espaciador.</t>
  </si>
  <si>
    <t xml:space="preserve">La presente herramienta de cálculo ha sido preparada por la DITEC del MINVU basada en NCh3137-1.Of2008 con el objeto de facilitar la acreditación o verificación de cumplimiento de requisitos de transmitancia térmica de elementos de fachada como ventanas y puertas vidriadas utilizadas en vivienda, recintos de salud y/o educación, que no sean del tipo muro cortina.
</t>
  </si>
  <si>
    <t>Otra</t>
  </si>
  <si>
    <t>CASO 8: otro</t>
  </si>
  <si>
    <t>Tipo abertura: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</si>
</sst>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000"/>
    <numFmt numFmtId="165" formatCode="0.000.E+00"/>
    <numFmt numFmtId="166" formatCode="0.0"/>
  </numFmts>
  <fonts count="13" x14ac:knownFonts="1">
    <font>
      <sz val="11"/>
      <color theme="1"/>
      <name val="Calibri"/>
      <family val="2"/>
      <scheme val="minor"/>
    </font>
    <font>
      <sz val="11"/>
      <color theme="1"/>
      <name val="Calibri"/>
      <family val="2"/>
    </font>
    <font>
      <b/>
      <sz val="11"/>
      <color theme="1"/>
      <name val="Calibri"/>
      <family val="2"/>
      <scheme val="minor"/>
    </font>
    <font>
      <b/>
      <sz val="18"/>
      <color theme="1"/>
      <name val="Calibri"/>
      <family val="2"/>
      <scheme val="minor"/>
    </font>
    <font>
      <sz val="18"/>
      <color theme="1"/>
      <name val="Calibri"/>
      <family val="2"/>
      <scheme val="minor"/>
    </font>
    <font>
      <sz val="18"/>
      <color theme="1"/>
      <name val="Calibri"/>
      <family val="2"/>
    </font>
    <font>
      <b/>
      <sz val="18"/>
      <color theme="0"/>
      <name val="Calibri"/>
      <family val="2"/>
      <scheme val="minor"/>
    </font>
    <font>
      <b/>
      <sz val="10"/>
      <color theme="1"/>
      <name val="Calibri"/>
      <family val="2"/>
      <scheme val="minor"/>
    </font>
    <font>
      <sz val="11"/>
      <color theme="1"/>
      <name val="Calibri"/>
      <family val="2"/>
      <scheme val="minor"/>
    </font>
    <font>
      <b/>
      <sz val="11"/>
      <color theme="0"/>
      <name val="Calibri"/>
      <family val="2"/>
      <scheme val="minor"/>
    </font>
    <font>
      <sz val="11"/>
      <color theme="0"/>
      <name val="Calibri"/>
      <family val="2"/>
      <scheme val="minor"/>
    </font>
    <font>
      <b/>
      <sz val="11"/>
      <color theme="0"/>
      <name val="Calibri"/>
      <family val="2"/>
    </font>
    <font>
      <b/>
      <sz val="11"/>
      <color theme="1"/>
      <name val="Calibri"/>
      <family val="2"/>
    </font>
  </fonts>
  <fills count="10">
    <fill>
      <patternFill patternType="none"/>
    </fill>
    <fill>
      <patternFill patternType="gray125"/>
    </fill>
    <fill>
      <patternFill patternType="solid">
        <fgColor rgb="FFFFFF00"/>
        <bgColor indexed="64"/>
      </patternFill>
    </fill>
    <fill>
      <patternFill patternType="solid">
        <fgColor theme="4" tint="0.39997558519241921"/>
        <bgColor indexed="64"/>
      </patternFill>
    </fill>
    <fill>
      <patternFill patternType="solid">
        <fgColor theme="0"/>
        <bgColor indexed="64"/>
      </patternFill>
    </fill>
    <fill>
      <patternFill patternType="solid">
        <fgColor theme="5" tint="0.59999389629810485"/>
        <bgColor indexed="64"/>
      </patternFill>
    </fill>
    <fill>
      <patternFill patternType="solid">
        <fgColor theme="5"/>
        <bgColor indexed="64"/>
      </patternFill>
    </fill>
    <fill>
      <patternFill patternType="solid">
        <fgColor theme="1"/>
        <bgColor indexed="64"/>
      </patternFill>
    </fill>
    <fill>
      <patternFill patternType="solid">
        <fgColor theme="0" tint="-0.14999847407452621"/>
        <bgColor indexed="64"/>
      </patternFill>
    </fill>
    <fill>
      <patternFill patternType="solid">
        <fgColor theme="7" tint="0.79998168889431442"/>
        <bgColor indexed="64"/>
      </patternFill>
    </fill>
  </fills>
  <borders count="20">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thin">
        <color indexed="64"/>
      </top>
      <bottom/>
      <diagonal/>
    </border>
  </borders>
  <cellStyleXfs count="2">
    <xf numFmtId="0" fontId="0" fillId="0" borderId="0"/>
    <xf numFmtId="9" fontId="8" fillId="0" borderId="0" applyFont="0" applyFill="0" applyBorder="0" applyAlignment="0" applyProtection="0"/>
  </cellStyleXfs>
  <cellXfs count="158">
    <xf numFmtId="0" fontId="0" fillId="0" borderId="0" xfId="0"/>
    <xf numFmtId="11" fontId="0" fillId="0" borderId="0" xfId="0" applyNumberFormat="1"/>
    <xf numFmtId="164" fontId="0" fillId="0" borderId="0" xfId="0" applyNumberFormat="1"/>
    <xf numFmtId="165" fontId="0" fillId="0" borderId="0" xfId="0" applyNumberFormat="1"/>
    <xf numFmtId="0" fontId="1" fillId="0" borderId="0" xfId="0" applyFont="1"/>
    <xf numFmtId="0" fontId="0" fillId="0" borderId="4" xfId="0" applyBorder="1"/>
    <xf numFmtId="0" fontId="0" fillId="0" borderId="5" xfId="0" applyBorder="1"/>
    <xf numFmtId="0" fontId="0" fillId="0" borderId="6" xfId="0" applyBorder="1"/>
    <xf numFmtId="0" fontId="0" fillId="0" borderId="7" xfId="0" applyBorder="1"/>
    <xf numFmtId="0" fontId="0" fillId="0" borderId="8" xfId="0" applyBorder="1"/>
    <xf numFmtId="164" fontId="0" fillId="0" borderId="0" xfId="0" applyNumberFormat="1" applyBorder="1"/>
    <xf numFmtId="0" fontId="0" fillId="0" borderId="4" xfId="0" applyFill="1" applyBorder="1"/>
    <xf numFmtId="0" fontId="1" fillId="0" borderId="0" xfId="0" applyFont="1" applyBorder="1" applyAlignment="1">
      <alignment horizontal="right"/>
    </xf>
    <xf numFmtId="0" fontId="2" fillId="0" borderId="0" xfId="0" applyFont="1"/>
    <xf numFmtId="0" fontId="0" fillId="0" borderId="9" xfId="0" applyFont="1" applyFill="1" applyBorder="1"/>
    <xf numFmtId="0" fontId="0" fillId="0" borderId="9" xfId="0" applyBorder="1"/>
    <xf numFmtId="0" fontId="0" fillId="0" borderId="0" xfId="0" applyFill="1" applyBorder="1"/>
    <xf numFmtId="0" fontId="0" fillId="0" borderId="0" xfId="0"/>
    <xf numFmtId="0" fontId="0" fillId="2" borderId="0" xfId="0" applyFill="1" applyBorder="1"/>
    <xf numFmtId="0" fontId="0" fillId="2" borderId="4" xfId="0" applyFill="1" applyBorder="1"/>
    <xf numFmtId="0" fontId="1" fillId="2" borderId="4" xfId="0" applyFont="1" applyFill="1" applyBorder="1"/>
    <xf numFmtId="0" fontId="0" fillId="0" borderId="0" xfId="0" applyBorder="1"/>
    <xf numFmtId="0" fontId="2" fillId="4" borderId="0" xfId="0" applyFont="1" applyFill="1"/>
    <xf numFmtId="0" fontId="0" fillId="4" borderId="0" xfId="0" applyFill="1"/>
    <xf numFmtId="0" fontId="0" fillId="4" borderId="0" xfId="0" applyFill="1" applyAlignment="1"/>
    <xf numFmtId="0" fontId="0" fillId="4" borderId="0" xfId="0" applyFill="1" applyBorder="1"/>
    <xf numFmtId="0" fontId="0" fillId="4" borderId="11" xfId="0" applyFill="1" applyBorder="1"/>
    <xf numFmtId="0" fontId="0" fillId="4" borderId="0" xfId="0" applyFill="1" applyBorder="1" applyAlignment="1"/>
    <xf numFmtId="0" fontId="0" fillId="4" borderId="0" xfId="0" applyFill="1" applyAlignment="1">
      <alignment vertical="center" wrapText="1"/>
    </xf>
    <xf numFmtId="0" fontId="0" fillId="4" borderId="0" xfId="0" applyFill="1" applyAlignment="1">
      <alignment horizontal="center"/>
    </xf>
    <xf numFmtId="166" fontId="2" fillId="4" borderId="0" xfId="0" applyNumberFormat="1" applyFont="1" applyFill="1" applyAlignment="1"/>
    <xf numFmtId="0" fontId="0" fillId="4" borderId="0" xfId="0" applyFill="1" applyBorder="1" applyAlignment="1" applyProtection="1">
      <alignment horizontal="center"/>
      <protection locked="0"/>
    </xf>
    <xf numFmtId="0" fontId="2" fillId="4" borderId="0" xfId="0" applyFont="1" applyFill="1" applyAlignment="1">
      <alignment horizontal="center"/>
    </xf>
    <xf numFmtId="0" fontId="0" fillId="4" borderId="0" xfId="0" applyFill="1" applyBorder="1" applyAlignment="1">
      <alignment horizontal="center" wrapText="1"/>
    </xf>
    <xf numFmtId="0" fontId="2" fillId="4" borderId="0" xfId="0" applyFont="1" applyFill="1" applyAlignment="1">
      <alignment horizontal="right"/>
    </xf>
    <xf numFmtId="0" fontId="0" fillId="4" borderId="0" xfId="0" applyFont="1" applyFill="1" applyBorder="1" applyAlignment="1" applyProtection="1">
      <protection locked="0"/>
    </xf>
    <xf numFmtId="0" fontId="2" fillId="4" borderId="0" xfId="0" applyFont="1" applyFill="1" applyAlignment="1">
      <alignment wrapText="1"/>
    </xf>
    <xf numFmtId="0" fontId="0" fillId="0" borderId="0" xfId="0" applyFont="1" applyBorder="1"/>
    <xf numFmtId="0" fontId="0" fillId="2" borderId="6" xfId="0" applyFill="1" applyBorder="1"/>
    <xf numFmtId="0" fontId="0" fillId="2" borderId="7" xfId="0" applyFill="1" applyBorder="1"/>
    <xf numFmtId="0" fontId="0" fillId="4" borderId="0" xfId="0" applyFill="1" applyBorder="1" applyProtection="1">
      <protection hidden="1"/>
    </xf>
    <xf numFmtId="0" fontId="2" fillId="4" borderId="0" xfId="0" applyFont="1" applyFill="1" applyProtection="1">
      <protection hidden="1"/>
    </xf>
    <xf numFmtId="0" fontId="2" fillId="4" borderId="0" xfId="0" applyFont="1" applyFill="1" applyAlignment="1" applyProtection="1">
      <alignment horizontal="left"/>
      <protection hidden="1"/>
    </xf>
    <xf numFmtId="0" fontId="0" fillId="4" borderId="0" xfId="0" applyFill="1" applyProtection="1">
      <protection hidden="1"/>
    </xf>
    <xf numFmtId="0" fontId="2" fillId="4" borderId="0" xfId="0" applyFont="1" applyFill="1" applyAlignment="1" applyProtection="1">
      <protection hidden="1"/>
    </xf>
    <xf numFmtId="0" fontId="7" fillId="4" borderId="0" xfId="0" applyFont="1" applyFill="1" applyAlignment="1" applyProtection="1">
      <alignment wrapText="1"/>
      <protection hidden="1"/>
    </xf>
    <xf numFmtId="0" fontId="0" fillId="4" borderId="11" xfId="0" applyFill="1" applyBorder="1" applyProtection="1">
      <protection hidden="1"/>
    </xf>
    <xf numFmtId="0" fontId="0" fillId="4" borderId="0" xfId="0" applyFill="1" applyAlignment="1" applyProtection="1">
      <protection hidden="1"/>
    </xf>
    <xf numFmtId="0" fontId="0" fillId="4" borderId="0" xfId="0" applyFill="1" applyBorder="1" applyAlignment="1" applyProtection="1">
      <alignment horizontal="left"/>
      <protection hidden="1"/>
    </xf>
    <xf numFmtId="0" fontId="0" fillId="4" borderId="0" xfId="0" applyFont="1" applyFill="1" applyProtection="1">
      <protection hidden="1"/>
    </xf>
    <xf numFmtId="0" fontId="0" fillId="0" borderId="0" xfId="0" applyProtection="1">
      <protection hidden="1"/>
    </xf>
    <xf numFmtId="0" fontId="2" fillId="4" borderId="0" xfId="0" applyFont="1" applyFill="1" applyAlignment="1">
      <alignment horizontal="center"/>
    </xf>
    <xf numFmtId="0" fontId="0" fillId="4" borderId="0" xfId="0" applyFill="1" applyAlignment="1">
      <alignment horizontal="left" vertical="top" wrapText="1"/>
    </xf>
    <xf numFmtId="0" fontId="0" fillId="4" borderId="0" xfId="0" applyFill="1"/>
    <xf numFmtId="0" fontId="0" fillId="2" borderId="5" xfId="0" applyFill="1" applyBorder="1"/>
    <xf numFmtId="0" fontId="0" fillId="2" borderId="8" xfId="0" applyFill="1" applyBorder="1"/>
    <xf numFmtId="0" fontId="0" fillId="2" borderId="0" xfId="0" quotePrefix="1" applyFill="1" applyBorder="1"/>
    <xf numFmtId="0" fontId="2" fillId="4" borderId="0" xfId="0" applyFont="1" applyFill="1" applyAlignment="1">
      <alignment horizontal="left" vertical="top"/>
    </xf>
    <xf numFmtId="0" fontId="0" fillId="4" borderId="0" xfId="0" applyFill="1" applyAlignment="1">
      <alignment horizontal="left" vertical="top"/>
    </xf>
    <xf numFmtId="0" fontId="0" fillId="4" borderId="0" xfId="0" applyFill="1" applyAlignment="1">
      <alignment horizontal="left" vertical="top" wrapText="1"/>
    </xf>
    <xf numFmtId="0" fontId="0" fillId="4" borderId="0" xfId="0" applyFill="1"/>
    <xf numFmtId="0" fontId="9" fillId="7" borderId="1" xfId="0" applyFont="1" applyFill="1" applyBorder="1"/>
    <xf numFmtId="0" fontId="10" fillId="7" borderId="2" xfId="0" applyFont="1" applyFill="1" applyBorder="1"/>
    <xf numFmtId="0" fontId="10" fillId="7" borderId="3" xfId="0" applyFont="1" applyFill="1" applyBorder="1"/>
    <xf numFmtId="0" fontId="9" fillId="7" borderId="2" xfId="0" applyFont="1" applyFill="1" applyBorder="1"/>
    <xf numFmtId="0" fontId="9" fillId="7" borderId="3" xfId="0" applyFont="1" applyFill="1" applyBorder="1"/>
    <xf numFmtId="0" fontId="0" fillId="4" borderId="0" xfId="0" applyFill="1" applyAlignment="1">
      <alignment vertical="top" wrapText="1"/>
    </xf>
    <xf numFmtId="0" fontId="6" fillId="4" borderId="0" xfId="0" applyFont="1" applyFill="1" applyAlignment="1">
      <alignment horizontal="center"/>
    </xf>
    <xf numFmtId="0" fontId="0" fillId="7" borderId="2" xfId="0" applyFill="1" applyBorder="1"/>
    <xf numFmtId="0" fontId="0" fillId="7" borderId="3" xfId="0" applyFill="1" applyBorder="1"/>
    <xf numFmtId="166" fontId="2" fillId="0" borderId="0" xfId="0" applyNumberFormat="1" applyFont="1" applyBorder="1"/>
    <xf numFmtId="0" fontId="0" fillId="0" borderId="11" xfId="0" applyFill="1" applyBorder="1"/>
    <xf numFmtId="0" fontId="0" fillId="0" borderId="0" xfId="0" applyAlignment="1">
      <alignment horizontal="left"/>
    </xf>
    <xf numFmtId="0" fontId="0" fillId="0" borderId="0" xfId="0" applyFill="1" applyAlignment="1">
      <alignment horizontal="left"/>
    </xf>
    <xf numFmtId="0" fontId="0" fillId="0" borderId="0" xfId="0" applyFill="1"/>
    <xf numFmtId="0" fontId="0" fillId="0" borderId="0" xfId="0" applyFill="1" applyAlignment="1">
      <alignment horizontal="left" vertical="top"/>
    </xf>
    <xf numFmtId="0" fontId="0" fillId="0" borderId="0" xfId="0" applyFill="1" applyAlignment="1">
      <alignment vertical="top"/>
    </xf>
    <xf numFmtId="0" fontId="0" fillId="4" borderId="0" xfId="0" applyFill="1" applyAlignment="1" applyProtection="1">
      <alignment vertical="center"/>
      <protection hidden="1"/>
    </xf>
    <xf numFmtId="0" fontId="0" fillId="0" borderId="0" xfId="0" applyAlignment="1"/>
    <xf numFmtId="0" fontId="0" fillId="0" borderId="0" xfId="0" applyAlignment="1">
      <alignment horizontal="right"/>
    </xf>
    <xf numFmtId="0" fontId="2" fillId="4" borderId="0" xfId="0" applyFont="1" applyFill="1" applyAlignment="1"/>
    <xf numFmtId="0" fontId="0" fillId="4" borderId="0" xfId="0" applyFill="1"/>
    <xf numFmtId="0" fontId="2" fillId="4" borderId="0" xfId="0" applyFont="1" applyFill="1" applyAlignment="1">
      <alignment horizontal="center"/>
    </xf>
    <xf numFmtId="0" fontId="0" fillId="4" borderId="0" xfId="0" applyFill="1" applyAlignment="1">
      <alignment horizontal="center" vertical="center"/>
    </xf>
    <xf numFmtId="0" fontId="0" fillId="0" borderId="0" xfId="0" applyFill="1" applyBorder="1" applyAlignment="1">
      <alignment horizontal="center"/>
    </xf>
    <xf numFmtId="0" fontId="0" fillId="0" borderId="0" xfId="0" applyBorder="1" applyAlignment="1">
      <alignment horizontal="center"/>
    </xf>
    <xf numFmtId="164" fontId="0" fillId="0" borderId="0" xfId="0" applyNumberFormat="1" applyFill="1" applyBorder="1" applyAlignment="1">
      <alignment horizontal="center"/>
    </xf>
    <xf numFmtId="164" fontId="0" fillId="0" borderId="0" xfId="0" applyNumberFormat="1" applyBorder="1" applyAlignment="1">
      <alignment horizontal="center"/>
    </xf>
    <xf numFmtId="0" fontId="0" fillId="0" borderId="4" xfId="0" applyBorder="1" applyAlignment="1">
      <alignment horizontal="right"/>
    </xf>
    <xf numFmtId="0" fontId="0" fillId="0" borderId="5" xfId="0" applyFill="1" applyBorder="1" applyAlignment="1">
      <alignment horizontal="left"/>
    </xf>
    <xf numFmtId="164" fontId="0" fillId="0" borderId="5" xfId="0" applyNumberFormat="1" applyBorder="1" applyAlignment="1">
      <alignment horizontal="left"/>
    </xf>
    <xf numFmtId="2" fontId="0" fillId="0" borderId="7" xfId="0" applyNumberFormat="1" applyBorder="1"/>
    <xf numFmtId="166" fontId="0" fillId="0" borderId="0" xfId="0" applyNumberFormat="1" applyBorder="1"/>
    <xf numFmtId="0" fontId="0" fillId="4" borderId="0" xfId="0" applyFill="1"/>
    <xf numFmtId="0" fontId="9" fillId="7" borderId="16" xfId="0" applyFont="1" applyFill="1" applyBorder="1"/>
    <xf numFmtId="0" fontId="10" fillId="7" borderId="17" xfId="0" applyFont="1" applyFill="1" applyBorder="1"/>
    <xf numFmtId="2" fontId="9" fillId="7" borderId="17" xfId="0" applyNumberFormat="1" applyFont="1" applyFill="1" applyBorder="1"/>
    <xf numFmtId="0" fontId="9" fillId="7" borderId="17" xfId="0" applyFont="1" applyFill="1" applyBorder="1"/>
    <xf numFmtId="0" fontId="10" fillId="7" borderId="18" xfId="0" applyFont="1" applyFill="1" applyBorder="1"/>
    <xf numFmtId="0" fontId="0" fillId="0" borderId="1" xfId="0" applyFill="1" applyBorder="1"/>
    <xf numFmtId="0" fontId="0" fillId="0" borderId="2" xfId="0" applyBorder="1"/>
    <xf numFmtId="0" fontId="0" fillId="0" borderId="3" xfId="0" applyBorder="1"/>
    <xf numFmtId="0" fontId="0" fillId="4" borderId="0" xfId="0" applyFill="1" applyBorder="1" applyAlignment="1" applyProtection="1">
      <alignment horizontal="center"/>
      <protection hidden="1"/>
    </xf>
    <xf numFmtId="0" fontId="0" fillId="4" borderId="0" xfId="0" applyFill="1" applyAlignment="1">
      <alignment horizontal="left" vertical="top" wrapText="1"/>
    </xf>
    <xf numFmtId="0" fontId="6" fillId="7" borderId="0" xfId="0" applyFont="1" applyFill="1" applyAlignment="1">
      <alignment horizontal="center"/>
    </xf>
    <xf numFmtId="0" fontId="0" fillId="4" borderId="0" xfId="0" applyFill="1"/>
    <xf numFmtId="0" fontId="0" fillId="3" borderId="13" xfId="0" applyFill="1" applyBorder="1" applyAlignment="1" applyProtection="1">
      <alignment horizontal="center"/>
      <protection locked="0"/>
    </xf>
    <xf numFmtId="0" fontId="0" fillId="4" borderId="0" xfId="0" applyFill="1" applyAlignment="1">
      <alignment horizontal="left"/>
    </xf>
    <xf numFmtId="0" fontId="0" fillId="3" borderId="13" xfId="0" applyFont="1" applyFill="1" applyBorder="1" applyAlignment="1" applyProtection="1">
      <alignment horizontal="center"/>
      <protection locked="0"/>
    </xf>
    <xf numFmtId="0" fontId="2" fillId="4" borderId="0" xfId="0" applyFont="1" applyFill="1" applyAlignment="1">
      <alignment horizontal="center"/>
    </xf>
    <xf numFmtId="0" fontId="0" fillId="3" borderId="13" xfId="0" applyFill="1" applyBorder="1" applyAlignment="1" applyProtection="1">
      <alignment horizontal="center"/>
      <protection locked="0" hidden="1"/>
    </xf>
    <xf numFmtId="0" fontId="0" fillId="3" borderId="15" xfId="0" applyFill="1" applyBorder="1" applyAlignment="1" applyProtection="1">
      <alignment horizontal="center"/>
      <protection locked="0" hidden="1"/>
    </xf>
    <xf numFmtId="0" fontId="0" fillId="4" borderId="0" xfId="0" applyFill="1" applyAlignment="1">
      <alignment horizontal="center"/>
    </xf>
    <xf numFmtId="166" fontId="4" fillId="9" borderId="0" xfId="0" applyNumberFormat="1" applyFont="1" applyFill="1" applyAlignment="1" applyProtection="1">
      <alignment horizontal="center" vertical="center" wrapText="1"/>
      <protection hidden="1"/>
    </xf>
    <xf numFmtId="0" fontId="4" fillId="4" borderId="0" xfId="0" applyFont="1" applyFill="1" applyAlignment="1">
      <alignment horizontal="center" vertical="center" wrapText="1"/>
    </xf>
    <xf numFmtId="0" fontId="0" fillId="4" borderId="10" xfId="0" applyFill="1" applyBorder="1" applyAlignment="1" applyProtection="1">
      <alignment horizontal="left"/>
      <protection hidden="1"/>
    </xf>
    <xf numFmtId="0" fontId="0" fillId="4" borderId="0" xfId="0" applyFill="1" applyBorder="1" applyAlignment="1" applyProtection="1">
      <alignment horizontal="left"/>
      <protection hidden="1"/>
    </xf>
    <xf numFmtId="0" fontId="0" fillId="4" borderId="11" xfId="0" applyFill="1" applyBorder="1" applyAlignment="1" applyProtection="1">
      <alignment horizontal="left"/>
      <protection hidden="1"/>
    </xf>
    <xf numFmtId="0" fontId="0" fillId="3" borderId="10" xfId="0" applyFill="1" applyBorder="1" applyAlignment="1" applyProtection="1">
      <alignment horizontal="left"/>
      <protection locked="0"/>
    </xf>
    <xf numFmtId="0" fontId="0" fillId="3" borderId="0" xfId="0" applyFill="1" applyBorder="1" applyAlignment="1" applyProtection="1">
      <alignment horizontal="left"/>
      <protection locked="0"/>
    </xf>
    <xf numFmtId="0" fontId="0" fillId="3" borderId="11" xfId="0" applyFill="1" applyBorder="1" applyAlignment="1" applyProtection="1">
      <alignment horizontal="left"/>
      <protection locked="0"/>
    </xf>
    <xf numFmtId="0" fontId="0" fillId="8" borderId="10" xfId="0" applyFill="1" applyBorder="1" applyAlignment="1" applyProtection="1">
      <alignment horizontal="center"/>
      <protection hidden="1"/>
    </xf>
    <xf numFmtId="0" fontId="0" fillId="8" borderId="0" xfId="0" applyFill="1" applyBorder="1" applyAlignment="1" applyProtection="1">
      <alignment horizontal="center"/>
      <protection hidden="1"/>
    </xf>
    <xf numFmtId="0" fontId="0" fillId="8" borderId="11" xfId="0" applyFill="1" applyBorder="1" applyAlignment="1" applyProtection="1">
      <alignment horizontal="center"/>
      <protection hidden="1"/>
    </xf>
    <xf numFmtId="166" fontId="0" fillId="9" borderId="0" xfId="0" applyNumberFormat="1" applyFill="1" applyBorder="1" applyAlignment="1" applyProtection="1">
      <alignment horizontal="center" vertical="center"/>
      <protection hidden="1"/>
    </xf>
    <xf numFmtId="0" fontId="2" fillId="4" borderId="0" xfId="0" applyFont="1" applyFill="1" applyBorder="1" applyAlignment="1">
      <alignment horizontal="right" vertical="center" wrapText="1"/>
    </xf>
    <xf numFmtId="0" fontId="2" fillId="4" borderId="0" xfId="0" applyFont="1" applyFill="1" applyAlignment="1">
      <alignment horizontal="right"/>
    </xf>
    <xf numFmtId="0" fontId="0" fillId="9" borderId="0" xfId="0" applyFill="1" applyBorder="1" applyAlignment="1" applyProtection="1">
      <alignment horizontal="center" vertical="center"/>
      <protection hidden="1"/>
    </xf>
    <xf numFmtId="0" fontId="2" fillId="5" borderId="0" xfId="0" applyFont="1" applyFill="1" applyAlignment="1">
      <alignment horizontal="center"/>
    </xf>
    <xf numFmtId="0" fontId="2" fillId="4" borderId="14" xfId="0" applyFont="1" applyFill="1" applyBorder="1" applyAlignment="1">
      <alignment horizontal="center"/>
    </xf>
    <xf numFmtId="0" fontId="2" fillId="4" borderId="13" xfId="0" applyFont="1" applyFill="1" applyBorder="1" applyAlignment="1">
      <alignment horizontal="center"/>
    </xf>
    <xf numFmtId="0" fontId="2" fillId="4" borderId="12" xfId="0" applyFont="1" applyFill="1" applyBorder="1" applyAlignment="1">
      <alignment horizontal="center"/>
    </xf>
    <xf numFmtId="0" fontId="2" fillId="4" borderId="13" xfId="0" applyFont="1" applyFill="1" applyBorder="1" applyAlignment="1">
      <alignment horizontal="left"/>
    </xf>
    <xf numFmtId="0" fontId="2" fillId="4" borderId="12" xfId="0" applyFont="1" applyFill="1" applyBorder="1" applyAlignment="1">
      <alignment horizontal="left"/>
    </xf>
    <xf numFmtId="0" fontId="0" fillId="4" borderId="0" xfId="0" applyFill="1" applyAlignment="1" applyProtection="1">
      <alignment horizontal="left"/>
      <protection hidden="1"/>
    </xf>
    <xf numFmtId="0" fontId="0" fillId="9" borderId="13" xfId="0" applyFill="1" applyBorder="1" applyAlignment="1" applyProtection="1">
      <alignment horizontal="center"/>
      <protection hidden="1"/>
    </xf>
    <xf numFmtId="0" fontId="0" fillId="4" borderId="0" xfId="0" applyFill="1" applyAlignment="1">
      <alignment horizontal="center" vertical="center"/>
    </xf>
    <xf numFmtId="0" fontId="2" fillId="4" borderId="0" xfId="0" applyFont="1" applyFill="1" applyAlignment="1" applyProtection="1">
      <alignment horizontal="left" wrapText="1"/>
      <protection hidden="1"/>
    </xf>
    <xf numFmtId="0" fontId="2" fillId="4" borderId="0" xfId="0" applyFont="1" applyFill="1" applyAlignment="1" applyProtection="1">
      <alignment horizontal="center"/>
      <protection hidden="1"/>
    </xf>
    <xf numFmtId="2" fontId="4" fillId="9" borderId="0" xfId="0" applyNumberFormat="1" applyFont="1" applyFill="1" applyAlignment="1" applyProtection="1">
      <alignment horizontal="center" vertical="center" wrapText="1"/>
      <protection hidden="1"/>
    </xf>
    <xf numFmtId="0" fontId="0" fillId="9" borderId="0" xfId="0" applyFill="1" applyBorder="1" applyAlignment="1" applyProtection="1">
      <alignment horizontal="center"/>
      <protection hidden="1"/>
    </xf>
    <xf numFmtId="0" fontId="2" fillId="4" borderId="0" xfId="0" applyFont="1" applyFill="1" applyAlignment="1" applyProtection="1">
      <protection hidden="1"/>
    </xf>
    <xf numFmtId="0" fontId="2" fillId="4" borderId="0" xfId="0" applyFont="1" applyFill="1" applyAlignment="1" applyProtection="1">
      <alignment horizontal="center" vertical="center" wrapText="1"/>
      <protection hidden="1"/>
    </xf>
    <xf numFmtId="0" fontId="0" fillId="3" borderId="13" xfId="0" applyFill="1" applyBorder="1" applyAlignment="1" applyProtection="1">
      <alignment horizontal="left"/>
      <protection locked="0"/>
    </xf>
    <xf numFmtId="0" fontId="0" fillId="4" borderId="0" xfId="0" applyFill="1" applyAlignment="1" applyProtection="1">
      <alignment horizontal="left" vertical="top" wrapText="1"/>
      <protection hidden="1"/>
    </xf>
    <xf numFmtId="9" fontId="0" fillId="4" borderId="0" xfId="1" applyFont="1" applyFill="1" applyAlignment="1">
      <alignment horizontal="left"/>
    </xf>
    <xf numFmtId="9" fontId="0" fillId="4" borderId="0" xfId="1" applyFont="1" applyFill="1" applyAlignment="1" applyProtection="1">
      <alignment horizontal="right"/>
      <protection hidden="1"/>
    </xf>
    <xf numFmtId="0" fontId="7" fillId="4" borderId="0" xfId="0" applyFont="1" applyFill="1" applyAlignment="1">
      <alignment horizontal="center"/>
    </xf>
    <xf numFmtId="0" fontId="3" fillId="4" borderId="0" xfId="0" applyFont="1" applyFill="1" applyAlignment="1">
      <alignment horizontal="center" vertical="center" wrapText="1"/>
    </xf>
    <xf numFmtId="166" fontId="3" fillId="6" borderId="0" xfId="0" applyNumberFormat="1" applyFont="1" applyFill="1" applyAlignment="1" applyProtection="1">
      <alignment horizontal="center" vertical="center" wrapText="1"/>
      <protection hidden="1"/>
    </xf>
    <xf numFmtId="0" fontId="0" fillId="4" borderId="0" xfId="0" applyFill="1" applyAlignment="1" applyProtection="1">
      <alignment horizontal="center"/>
      <protection locked="0" hidden="1"/>
    </xf>
    <xf numFmtId="0" fontId="12" fillId="4" borderId="0" xfId="0" applyFont="1" applyFill="1" applyAlignment="1">
      <alignment horizontal="center"/>
    </xf>
    <xf numFmtId="0" fontId="0" fillId="3" borderId="10" xfId="0" applyFill="1" applyBorder="1" applyProtection="1">
      <protection locked="0"/>
    </xf>
    <xf numFmtId="0" fontId="0" fillId="3" borderId="0" xfId="0" applyFill="1" applyBorder="1" applyProtection="1">
      <protection locked="0"/>
    </xf>
    <xf numFmtId="0" fontId="0" fillId="3" borderId="10" xfId="0" applyFill="1" applyBorder="1" applyProtection="1">
      <protection locked="0" hidden="1"/>
    </xf>
    <xf numFmtId="0" fontId="0" fillId="3" borderId="0" xfId="0" applyFill="1" applyBorder="1" applyProtection="1">
      <protection locked="0" hidden="1"/>
    </xf>
    <xf numFmtId="0" fontId="2" fillId="4" borderId="0" xfId="0" applyFont="1" applyFill="1" applyBorder="1" applyAlignment="1" applyProtection="1">
      <protection hidden="1"/>
    </xf>
    <xf numFmtId="0" fontId="2" fillId="4" borderId="19" xfId="0" applyFont="1" applyFill="1" applyBorder="1" applyAlignment="1">
      <alignment horizontal="left"/>
    </xf>
  </cellXfs>
  <cellStyles count="2">
    <cellStyle name="Normal" xfId="0" builtinId="0"/>
    <cellStyle name="Porcentaje" xfId="1" builtinId="5"/>
  </cellStyles>
  <dxfs count="23">
    <dxf>
      <font>
        <color theme="0"/>
      </font>
      <fill>
        <patternFill>
          <bgColor theme="0"/>
        </patternFill>
      </fill>
      <border>
        <left/>
        <right/>
        <top/>
        <bottom/>
        <vertical/>
        <horizontal/>
      </border>
    </dxf>
    <dxf>
      <font>
        <color theme="0"/>
      </font>
      <fill>
        <patternFill>
          <bgColor theme="0"/>
        </patternFill>
      </fill>
      <border>
        <left/>
        <right/>
        <top/>
        <bottom/>
      </border>
    </dxf>
    <dxf>
      <font>
        <color theme="0"/>
      </font>
      <fill>
        <patternFill>
          <bgColor theme="0"/>
        </patternFill>
      </fill>
    </dxf>
    <dxf>
      <font>
        <color theme="0"/>
      </font>
      <fill>
        <patternFill>
          <bgColor theme="0"/>
        </patternFill>
      </fill>
      <border>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border>
    </dxf>
    <dxf>
      <numFmt numFmtId="165" formatCode="0.000.E+00"/>
    </dxf>
    <dxf>
      <numFmt numFmtId="165" formatCode="0.000.E+00"/>
    </dxf>
    <dxf>
      <numFmt numFmtId="165" formatCode="0.000.E+00"/>
    </dxf>
    <dxf>
      <numFmt numFmtId="164" formatCode="0.000"/>
    </dxf>
    <dxf>
      <numFmt numFmtId="165" formatCode="0.000.E+00"/>
    </dxf>
    <dxf>
      <numFmt numFmtId="164" formatCode="0.000"/>
      <alignment horizontal="left" vertical="bottom" textRotation="0" wrapText="0" indent="0" justifyLastLine="0" shrinkToFit="0" readingOrder="0"/>
    </dxf>
    <dxf>
      <numFmt numFmtId="164" formatCode="0.000"/>
      <alignment horizontal="center" vertical="bottom" textRotation="0" wrapText="0" indent="0" justifyLastLine="0" shrinkToFit="0" readingOrder="0"/>
    </dxf>
    <dxf>
      <numFmt numFmtId="164" formatCode="0.000"/>
      <alignment horizontal="center" vertical="bottom" textRotation="0" wrapText="0" indent="0" justifyLastLine="0" shrinkToFit="0" readingOrder="0"/>
    </dxf>
    <dxf>
      <numFmt numFmtId="164" formatCode="0.000"/>
      <alignment horizontal="center" vertical="bottom" textRotation="0" wrapText="0" indent="0" justifyLastLine="0" shrinkToFit="0" readingOrder="0"/>
    </dxf>
    <dxf>
      <numFmt numFmtId="164" formatCode="0.000"/>
      <alignment horizontal="center" vertical="bottom" textRotation="0" wrapText="0" indent="0" justifyLastLine="0" shrinkToFit="0" readingOrder="0"/>
    </dxf>
    <dxf>
      <numFmt numFmtId="164" formatCode="0.000"/>
      <alignment horizontal="center" vertical="bottom" textRotation="0" wrapText="0" indent="0" justifyLastLine="0" shrinkToFit="0" readingOrder="0"/>
    </dxf>
    <dxf>
      <fill>
        <patternFill patternType="none">
          <fgColor indexed="64"/>
          <bgColor indexed="65"/>
        </patternFill>
      </fill>
    </dxf>
    <dxf>
      <border outline="0">
        <left style="medium">
          <color indexed="64"/>
        </left>
      </border>
    </dxf>
    <dxf>
      <alignment horizontal="center" vertical="bottom" textRotation="0" wrapText="0" indent="0" justifyLastLine="0" shrinkToFit="0" readingOrder="0"/>
    </dxf>
    <dxf>
      <fill>
        <patternFill patternType="none">
          <fgColor indexed="64"/>
          <bgColor indexed="65"/>
        </patternFill>
      </fill>
      <alignment horizontal="center" vertical="bottom" textRotation="0" wrapText="0" indent="0" justifyLastLine="0" shrinkToFit="0" readingOrder="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eetMetadata" Target="metadata.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s-CL"/>
              <a:t>Marcos de</a:t>
            </a:r>
            <a:r>
              <a:rPr lang="es-CL" baseline="0"/>
              <a:t> madera y madera-metal, humedad 12%</a:t>
            </a:r>
            <a:endParaRPr lang="es-CL"/>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s-ES"/>
        </a:p>
      </c:txPr>
    </c:title>
    <c:autoTitleDeleted val="0"/>
    <c:plotArea>
      <c:layout/>
      <c:scatterChart>
        <c:scatterStyle val="smoothMarker"/>
        <c:varyColors val="0"/>
        <c:ser>
          <c:idx val="1"/>
          <c:order val="0"/>
          <c:tx>
            <c:v>madera dura</c:v>
          </c:tx>
          <c:spPr>
            <a:ln w="19050" cap="rnd">
              <a:noFill/>
              <a:round/>
            </a:ln>
            <a:effectLst/>
          </c:spPr>
          <c:marker>
            <c:symbol val="circle"/>
            <c:size val="5"/>
            <c:spPr>
              <a:noFill/>
              <a:ln w="9525">
                <a:noFill/>
              </a:ln>
              <a:effectLst/>
            </c:spPr>
          </c:marker>
          <c:trendline>
            <c:spPr>
              <a:ln w="19050" cap="rnd">
                <a:solidFill>
                  <a:schemeClr val="tx1"/>
                </a:solidFill>
                <a:prstDash val="solid"/>
              </a:ln>
              <a:effectLst/>
            </c:spPr>
            <c:trendlineType val="poly"/>
            <c:order val="2"/>
            <c:dispRSqr val="1"/>
            <c:dispEq val="1"/>
            <c:trendlineLbl>
              <c:layout>
                <c:manualLayout>
                  <c:x val="-0.10027476500361533"/>
                  <c:y val="-0.30019483413629899"/>
                </c:manualLayout>
              </c:layout>
              <c:numFmt formatCode="General" sourceLinked="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ES"/>
                </a:p>
              </c:txPr>
            </c:trendlineLbl>
          </c:trendline>
          <c:xVal>
            <c:numRef>
              <c:f>Aux!$J$34:$J$39</c:f>
              <c:numCache>
                <c:formatCode>General</c:formatCode>
                <c:ptCount val="6"/>
                <c:pt idx="0">
                  <c:v>30</c:v>
                </c:pt>
                <c:pt idx="1">
                  <c:v>50</c:v>
                </c:pt>
                <c:pt idx="2">
                  <c:v>95</c:v>
                </c:pt>
                <c:pt idx="3">
                  <c:v>115</c:v>
                </c:pt>
                <c:pt idx="4">
                  <c:v>140</c:v>
                </c:pt>
                <c:pt idx="5">
                  <c:v>170</c:v>
                </c:pt>
              </c:numCache>
            </c:numRef>
          </c:xVal>
          <c:yVal>
            <c:numRef>
              <c:f>Aux!$K$34:$K$39</c:f>
              <c:numCache>
                <c:formatCode>General</c:formatCode>
                <c:ptCount val="6"/>
                <c:pt idx="0">
                  <c:v>2.7</c:v>
                </c:pt>
                <c:pt idx="1">
                  <c:v>2.4</c:v>
                </c:pt>
                <c:pt idx="2">
                  <c:v>1.8</c:v>
                </c:pt>
                <c:pt idx="3">
                  <c:v>1.6</c:v>
                </c:pt>
                <c:pt idx="4">
                  <c:v>1.4</c:v>
                </c:pt>
                <c:pt idx="5">
                  <c:v>1.2</c:v>
                </c:pt>
              </c:numCache>
            </c:numRef>
          </c:yVal>
          <c:smooth val="1"/>
          <c:extLst>
            <c:ext xmlns:c16="http://schemas.microsoft.com/office/drawing/2014/chart" uri="{C3380CC4-5D6E-409C-BE32-E72D297353CC}">
              <c16:uniqueId val="{00000001-0B9A-4751-9D65-C8B547B7462E}"/>
            </c:ext>
          </c:extLst>
        </c:ser>
        <c:ser>
          <c:idx val="0"/>
          <c:order val="1"/>
          <c:tx>
            <c:v>madera blanda</c:v>
          </c:tx>
          <c:spPr>
            <a:ln w="19050" cap="rnd">
              <a:noFill/>
              <a:round/>
            </a:ln>
            <a:effectLst/>
          </c:spPr>
          <c:marker>
            <c:symbol val="circle"/>
            <c:size val="5"/>
            <c:spPr>
              <a:noFill/>
              <a:ln w="9525">
                <a:noFill/>
              </a:ln>
              <a:effectLst/>
            </c:spPr>
          </c:marker>
          <c:trendline>
            <c:spPr>
              <a:ln w="19050" cap="rnd" cmpd="sng">
                <a:solidFill>
                  <a:schemeClr val="tx1"/>
                </a:solidFill>
                <a:prstDash val="lgDash"/>
              </a:ln>
              <a:effectLst/>
            </c:spPr>
            <c:trendlineType val="poly"/>
            <c:order val="2"/>
            <c:dispRSqr val="1"/>
            <c:dispEq val="1"/>
            <c:trendlineLbl>
              <c:layout>
                <c:manualLayout>
                  <c:x val="-0.46698481561822125"/>
                  <c:y val="-5.6159772481270027E-2"/>
                </c:manualLayout>
              </c:layout>
              <c:numFmt formatCode="General" sourceLinked="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ES"/>
                </a:p>
              </c:txPr>
            </c:trendlineLbl>
          </c:trendline>
          <c:xVal>
            <c:numRef>
              <c:f>Aux!$M$34:$M$39</c:f>
              <c:numCache>
                <c:formatCode>General</c:formatCode>
                <c:ptCount val="6"/>
                <c:pt idx="0">
                  <c:v>30</c:v>
                </c:pt>
                <c:pt idx="1">
                  <c:v>50</c:v>
                </c:pt>
                <c:pt idx="2">
                  <c:v>110</c:v>
                </c:pt>
                <c:pt idx="3">
                  <c:v>120</c:v>
                </c:pt>
                <c:pt idx="4">
                  <c:v>150</c:v>
                </c:pt>
                <c:pt idx="5">
                  <c:v>169</c:v>
                </c:pt>
              </c:numCache>
            </c:numRef>
          </c:xVal>
          <c:yVal>
            <c:numRef>
              <c:f>Aux!$N$34:$N$39</c:f>
              <c:numCache>
                <c:formatCode>General</c:formatCode>
                <c:ptCount val="6"/>
                <c:pt idx="0">
                  <c:v>2.2999999999999998</c:v>
                </c:pt>
                <c:pt idx="1">
                  <c:v>2.02</c:v>
                </c:pt>
                <c:pt idx="2">
                  <c:v>1.38</c:v>
                </c:pt>
                <c:pt idx="3">
                  <c:v>1.3</c:v>
                </c:pt>
                <c:pt idx="4">
                  <c:v>1.1000000000000001</c:v>
                </c:pt>
                <c:pt idx="5">
                  <c:v>1</c:v>
                </c:pt>
              </c:numCache>
            </c:numRef>
          </c:yVal>
          <c:smooth val="1"/>
          <c:extLst>
            <c:ext xmlns:c16="http://schemas.microsoft.com/office/drawing/2014/chart" uri="{C3380CC4-5D6E-409C-BE32-E72D297353CC}">
              <c16:uniqueId val="{00000000-0B9A-4751-9D65-C8B547B7462E}"/>
            </c:ext>
          </c:extLst>
        </c:ser>
        <c:dLbls>
          <c:showLegendKey val="0"/>
          <c:showVal val="0"/>
          <c:showCatName val="0"/>
          <c:showSerName val="0"/>
          <c:showPercent val="0"/>
          <c:showBubbleSize val="0"/>
        </c:dLbls>
        <c:axId val="605355096"/>
        <c:axId val="605357064"/>
      </c:scatterChart>
      <c:valAx>
        <c:axId val="605355096"/>
        <c:scaling>
          <c:orientation val="minMax"/>
          <c:max val="170"/>
          <c:min val="0"/>
        </c:scaling>
        <c:delete val="0"/>
        <c:axPos val="b"/>
        <c:majorGridlines>
          <c:spPr>
            <a:ln w="9525" cap="flat" cmpd="sng" algn="ctr">
              <a:solidFill>
                <a:schemeClr val="tx1">
                  <a:lumMod val="15000"/>
                  <a:lumOff val="85000"/>
                </a:schemeClr>
              </a:solidFill>
              <a:round/>
            </a:ln>
            <a:effectLst/>
          </c:spPr>
        </c:majorGridlines>
        <c:minorGridlines>
          <c:spPr>
            <a:ln w="9525" cap="flat" cmpd="sng" algn="ctr">
              <a:solidFill>
                <a:schemeClr val="tx1">
                  <a:lumMod val="5000"/>
                  <a:lumOff val="95000"/>
                </a:schemeClr>
              </a:solidFill>
              <a:round/>
            </a:ln>
            <a:effectLst/>
          </c:spPr>
        </c:minorGridlines>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s-CL"/>
                  <a:t>espesor del marco en mm</a:t>
                </a:r>
              </a:p>
            </c:rich>
          </c:tx>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s-ES"/>
            </a:p>
          </c:txPr>
        </c:title>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ES"/>
          </a:p>
        </c:txPr>
        <c:crossAx val="605357064"/>
        <c:crosses val="autoZero"/>
        <c:crossBetween val="midCat"/>
        <c:majorUnit val="50"/>
      </c:valAx>
      <c:valAx>
        <c:axId val="605357064"/>
        <c:scaling>
          <c:orientation val="minMax"/>
          <c:max val="3"/>
          <c:min val="1"/>
        </c:scaling>
        <c:delete val="0"/>
        <c:axPos val="l"/>
        <c:majorGridlines>
          <c:spPr>
            <a:ln w="9525" cap="flat" cmpd="sng" algn="ctr">
              <a:solidFill>
                <a:schemeClr val="tx1">
                  <a:lumMod val="15000"/>
                  <a:lumOff val="85000"/>
                </a:schemeClr>
              </a:solidFill>
              <a:round/>
            </a:ln>
            <a:effectLst/>
          </c:spPr>
        </c:majorGridlines>
        <c:minorGridlines>
          <c:spPr>
            <a:ln w="9525" cap="flat" cmpd="sng" algn="ctr">
              <a:solidFill>
                <a:schemeClr val="tx1">
                  <a:lumMod val="5000"/>
                  <a:lumOff val="95000"/>
                </a:schemeClr>
              </a:solidFill>
              <a:round/>
            </a:ln>
            <a:effectLst/>
          </c:spPr>
        </c:min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s-CL"/>
                  <a:t>Transmitancia térmica marco, Uf</a:t>
                </a: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s-ES"/>
            </a:p>
          </c:txPr>
        </c:title>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ES"/>
          </a:p>
        </c:txPr>
        <c:crossAx val="605355096"/>
        <c:crosses val="autoZero"/>
        <c:crossBetween val="midCat"/>
        <c:majorUnit val="1"/>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E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E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Marco</a:t>
            </a:r>
            <a:r>
              <a:rPr lang="en-US" baseline="0"/>
              <a:t> metálico con RPT</a:t>
            </a:r>
            <a:endParaRPr lang="en-US"/>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s-ES"/>
        </a:p>
      </c:txPr>
    </c:title>
    <c:autoTitleDeleted val="0"/>
    <c:plotArea>
      <c:layout/>
      <c:scatterChart>
        <c:scatterStyle val="smoothMarker"/>
        <c:varyColors val="0"/>
        <c:ser>
          <c:idx val="0"/>
          <c:order val="0"/>
          <c:tx>
            <c:v>lím inferior</c:v>
          </c:tx>
          <c:spPr>
            <a:ln w="19050" cap="rnd">
              <a:noFill/>
              <a:round/>
            </a:ln>
            <a:effectLst/>
          </c:spPr>
          <c:marker>
            <c:symbol val="none"/>
          </c:marker>
          <c:trendline>
            <c:spPr>
              <a:ln w="19050" cap="rnd">
                <a:solidFill>
                  <a:schemeClr val="tx1"/>
                </a:solidFill>
                <a:prstDash val="solid"/>
              </a:ln>
              <a:effectLst/>
            </c:spPr>
            <c:trendlineType val="poly"/>
            <c:order val="4"/>
            <c:dispRSqr val="1"/>
            <c:dispEq val="1"/>
            <c:trendlineLbl>
              <c:layout>
                <c:manualLayout>
                  <c:x val="1.8317433878457502E-2"/>
                  <c:y val="0.2881000291630213"/>
                </c:manualLayout>
              </c:layout>
              <c:numFmt formatCode="General" sourceLinked="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ES"/>
                </a:p>
              </c:txPr>
            </c:trendlineLbl>
          </c:trendline>
          <c:xVal>
            <c:numRef>
              <c:f>Aux!$C$51:$C$55</c:f>
              <c:numCache>
                <c:formatCode>General</c:formatCode>
                <c:ptCount val="5"/>
                <c:pt idx="0">
                  <c:v>0</c:v>
                </c:pt>
                <c:pt idx="1">
                  <c:v>8</c:v>
                </c:pt>
                <c:pt idx="2">
                  <c:v>22</c:v>
                </c:pt>
                <c:pt idx="3">
                  <c:v>32</c:v>
                </c:pt>
                <c:pt idx="4">
                  <c:v>36</c:v>
                </c:pt>
              </c:numCache>
            </c:numRef>
          </c:xVal>
          <c:yVal>
            <c:numRef>
              <c:f>Aux!$D$51:$D$55</c:f>
              <c:numCache>
                <c:formatCode>General</c:formatCode>
                <c:ptCount val="5"/>
                <c:pt idx="0">
                  <c:v>0</c:v>
                </c:pt>
                <c:pt idx="1">
                  <c:v>0.11</c:v>
                </c:pt>
                <c:pt idx="2">
                  <c:v>0.2</c:v>
                </c:pt>
                <c:pt idx="3">
                  <c:v>0.22500000000000001</c:v>
                </c:pt>
                <c:pt idx="4">
                  <c:v>0.23</c:v>
                </c:pt>
              </c:numCache>
            </c:numRef>
          </c:yVal>
          <c:smooth val="1"/>
          <c:extLst>
            <c:ext xmlns:c16="http://schemas.microsoft.com/office/drawing/2014/chart" uri="{C3380CC4-5D6E-409C-BE32-E72D297353CC}">
              <c16:uniqueId val="{00000000-AD87-4783-B900-D09BE7955201}"/>
            </c:ext>
          </c:extLst>
        </c:ser>
        <c:ser>
          <c:idx val="1"/>
          <c:order val="1"/>
          <c:tx>
            <c:v>lím superior</c:v>
          </c:tx>
          <c:spPr>
            <a:ln w="25400" cap="rnd">
              <a:noFill/>
              <a:round/>
            </a:ln>
            <a:effectLst/>
          </c:spPr>
          <c:marker>
            <c:symbol val="none"/>
          </c:marker>
          <c:trendline>
            <c:spPr>
              <a:ln w="19050" cap="rnd">
                <a:solidFill>
                  <a:schemeClr val="tx1"/>
                </a:solidFill>
                <a:prstDash val="lgDashDot"/>
              </a:ln>
              <a:effectLst/>
            </c:spPr>
            <c:trendlineType val="poly"/>
            <c:order val="4"/>
            <c:dispRSqr val="1"/>
            <c:dispEq val="1"/>
            <c:trendlineLbl>
              <c:layout>
                <c:manualLayout>
                  <c:x val="-0.17169871794871794"/>
                  <c:y val="-1.4305555555555556E-2"/>
                </c:manualLayout>
              </c:layout>
              <c:numFmt formatCode="General" sourceLinked="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ES"/>
                </a:p>
              </c:txPr>
            </c:trendlineLbl>
          </c:trendline>
          <c:xVal>
            <c:numRef>
              <c:f>Aux!$F$51:$F$55</c:f>
              <c:numCache>
                <c:formatCode>General</c:formatCode>
                <c:ptCount val="5"/>
                <c:pt idx="0">
                  <c:v>0</c:v>
                </c:pt>
                <c:pt idx="1">
                  <c:v>12</c:v>
                </c:pt>
                <c:pt idx="2">
                  <c:v>20</c:v>
                </c:pt>
                <c:pt idx="3">
                  <c:v>29</c:v>
                </c:pt>
                <c:pt idx="4">
                  <c:v>36</c:v>
                </c:pt>
              </c:numCache>
            </c:numRef>
          </c:xVal>
          <c:yVal>
            <c:numRef>
              <c:f>Aux!$G$51:$G$55</c:f>
              <c:numCache>
                <c:formatCode>General</c:formatCode>
                <c:ptCount val="5"/>
                <c:pt idx="0">
                  <c:v>0</c:v>
                </c:pt>
                <c:pt idx="1">
                  <c:v>0.22500000000000001</c:v>
                </c:pt>
                <c:pt idx="2">
                  <c:v>0.3</c:v>
                </c:pt>
                <c:pt idx="3">
                  <c:v>0.35</c:v>
                </c:pt>
                <c:pt idx="4">
                  <c:v>0.36599999999999999</c:v>
                </c:pt>
              </c:numCache>
            </c:numRef>
          </c:yVal>
          <c:smooth val="1"/>
          <c:extLst>
            <c:ext xmlns:c16="http://schemas.microsoft.com/office/drawing/2014/chart" uri="{C3380CC4-5D6E-409C-BE32-E72D297353CC}">
              <c16:uniqueId val="{00000002-AD87-4783-B900-D09BE7955201}"/>
            </c:ext>
          </c:extLst>
        </c:ser>
        <c:dLbls>
          <c:showLegendKey val="0"/>
          <c:showVal val="0"/>
          <c:showCatName val="0"/>
          <c:showSerName val="0"/>
          <c:showPercent val="0"/>
          <c:showBubbleSize val="0"/>
        </c:dLbls>
        <c:axId val="952619647"/>
        <c:axId val="952620063"/>
      </c:scatterChart>
      <c:valAx>
        <c:axId val="952619647"/>
        <c:scaling>
          <c:orientation val="minMax"/>
          <c:max val="36"/>
          <c:min val="0"/>
        </c:scaling>
        <c:delete val="0"/>
        <c:axPos val="b"/>
        <c:majorGridlines>
          <c:spPr>
            <a:ln w="9525" cap="flat" cmpd="sng" algn="ctr">
              <a:solidFill>
                <a:schemeClr val="tx1">
                  <a:lumMod val="15000"/>
                  <a:lumOff val="85000"/>
                </a:schemeClr>
              </a:solidFill>
              <a:round/>
            </a:ln>
            <a:effectLst/>
          </c:spPr>
        </c:majorGridlines>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s-ES"/>
                  <a:t>menor</a:t>
                </a:r>
                <a:r>
                  <a:rPr lang="es-ES" baseline="0"/>
                  <a:t> distancia d entre secciones metálicas opuestas, mm</a:t>
                </a:r>
                <a:endParaRPr lang="es-ES"/>
              </a:p>
            </c:rich>
          </c:tx>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s-ES"/>
            </a:p>
          </c:txPr>
        </c:title>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ES"/>
          </a:p>
        </c:txPr>
        <c:crossAx val="952620063"/>
        <c:crosses val="autoZero"/>
        <c:crossBetween val="midCat"/>
        <c:majorUnit val="4"/>
      </c:valAx>
      <c:valAx>
        <c:axId val="952620063"/>
        <c:scaling>
          <c:orientation val="minMax"/>
          <c:max val="0.4"/>
          <c:min val="0"/>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s-ES"/>
                  <a:t>Resistencia térmica del marco</a:t>
                </a: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s-ES"/>
            </a:p>
          </c:txPr>
        </c:title>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ES"/>
          </a:p>
        </c:txPr>
        <c:crossAx val="952619647"/>
        <c:crosses val="autoZero"/>
        <c:crossBetween val="midCat"/>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E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ctrlProps/ctrlProp1.xml><?xml version="1.0" encoding="utf-8"?>
<formControlPr xmlns="http://schemas.microsoft.com/office/spreadsheetml/2009/9/main" objectType="GBox" noThreeD="1"/>
</file>

<file path=xl/ctrlProps/ctrlProp2.xml><?xml version="1.0" encoding="utf-8"?>
<formControlPr xmlns="http://schemas.microsoft.com/office/spreadsheetml/2009/9/main" objectType="Radio" firstButton="1" fmlaLink="Cálculos!$B$7" lockText="1" noThreeD="1"/>
</file>

<file path=xl/ctrlProps/ctrlProp3.xml><?xml version="1.0" encoding="utf-8"?>
<formControlPr xmlns="http://schemas.microsoft.com/office/spreadsheetml/2009/9/main" objectType="Radio" checked="Checked" lockText="1" noThreeD="1"/>
</file>

<file path=xl/drawings/_rels/drawing3.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oneCellAnchor>
    <xdr:from>
      <xdr:col>8</xdr:col>
      <xdr:colOff>104775</xdr:colOff>
      <xdr:row>50</xdr:row>
      <xdr:rowOff>142875</xdr:rowOff>
    </xdr:from>
    <xdr:ext cx="2080378" cy="476284"/>
    <mc:AlternateContent xmlns:mc="http://schemas.openxmlformats.org/markup-compatibility/2006" xmlns:a14="http://schemas.microsoft.com/office/drawing/2010/main">
      <mc:Choice Requires="a14">
        <xdr:sp macro="" textlink="">
          <xdr:nvSpPr>
            <xdr:cNvPr id="2" name="CuadroTexto 1">
              <a:extLst>
                <a:ext uri="{FF2B5EF4-FFF2-40B4-BE49-F238E27FC236}">
                  <a16:creationId xmlns:a16="http://schemas.microsoft.com/office/drawing/2014/main" id="{00000000-0008-0000-0000-000002000000}"/>
                </a:ext>
              </a:extLst>
            </xdr:cNvPr>
            <xdr:cNvSpPr txBox="1"/>
          </xdr:nvSpPr>
          <xdr:spPr>
            <a:xfrm>
              <a:off x="1533525" y="9010650"/>
              <a:ext cx="2080378" cy="47628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14:m>
                <m:oMathPara xmlns:m="http://schemas.openxmlformats.org/officeDocument/2006/math">
                  <m:oMathParaPr>
                    <m:jc m:val="centerGroup"/>
                  </m:oMathParaPr>
                  <m:oMath xmlns:m="http://schemas.openxmlformats.org/officeDocument/2006/math">
                    <m:sSub>
                      <m:sSubPr>
                        <m:ctrlPr>
                          <a:rPr lang="es-CL" sz="1400" i="1">
                            <a:latin typeface="Cambria Math" panose="02040503050406030204" pitchFamily="18" charset="0"/>
                          </a:rPr>
                        </m:ctrlPr>
                      </m:sSubPr>
                      <m:e>
                        <m:r>
                          <a:rPr lang="es-CL" sz="1400" b="0" i="1">
                            <a:latin typeface="Cambria Math" panose="02040503050406030204" pitchFamily="18" charset="0"/>
                          </a:rPr>
                          <m:t>𝑈</m:t>
                        </m:r>
                      </m:e>
                      <m:sub>
                        <m:r>
                          <a:rPr lang="es-CL" sz="1400" b="0" i="1">
                            <a:latin typeface="Cambria Math" panose="02040503050406030204" pitchFamily="18" charset="0"/>
                          </a:rPr>
                          <m:t>𝑤</m:t>
                        </m:r>
                      </m:sub>
                    </m:sSub>
                    <m:r>
                      <a:rPr lang="es-CL" sz="1400" b="0" i="1">
                        <a:latin typeface="Cambria Math" panose="02040503050406030204" pitchFamily="18" charset="0"/>
                      </a:rPr>
                      <m:t>=</m:t>
                    </m:r>
                    <m:f>
                      <m:fPr>
                        <m:ctrlPr>
                          <a:rPr lang="es-CL" sz="1400" b="0" i="1">
                            <a:latin typeface="Cambria Math" panose="02040503050406030204" pitchFamily="18" charset="0"/>
                          </a:rPr>
                        </m:ctrlPr>
                      </m:fPr>
                      <m:num>
                        <m:sSub>
                          <m:sSubPr>
                            <m:ctrlPr>
                              <a:rPr lang="es-CL" sz="1400" i="1">
                                <a:solidFill>
                                  <a:schemeClr val="tx1"/>
                                </a:solidFill>
                                <a:effectLst/>
                                <a:latin typeface="Cambria Math" panose="02040503050406030204" pitchFamily="18" charset="0"/>
                                <a:ea typeface="+mn-ea"/>
                                <a:cs typeface="+mn-cs"/>
                              </a:rPr>
                            </m:ctrlPr>
                          </m:sSubPr>
                          <m:e>
                            <m:r>
                              <a:rPr lang="es-CL" sz="1400" b="0" i="1">
                                <a:solidFill>
                                  <a:schemeClr val="tx1"/>
                                </a:solidFill>
                                <a:effectLst/>
                                <a:latin typeface="Cambria Math" panose="02040503050406030204" pitchFamily="18" charset="0"/>
                                <a:ea typeface="+mn-ea"/>
                                <a:cs typeface="+mn-cs"/>
                              </a:rPr>
                              <m:t>𝑈</m:t>
                            </m:r>
                          </m:e>
                          <m:sub>
                            <m:r>
                              <a:rPr lang="es-CL" sz="1400" b="0" i="1">
                                <a:solidFill>
                                  <a:schemeClr val="tx1"/>
                                </a:solidFill>
                                <a:effectLst/>
                                <a:latin typeface="Cambria Math" panose="02040503050406030204" pitchFamily="18" charset="0"/>
                                <a:ea typeface="+mn-ea"/>
                                <a:cs typeface="+mn-cs"/>
                              </a:rPr>
                              <m:t>𝑓</m:t>
                            </m:r>
                          </m:sub>
                        </m:sSub>
                        <m:sSub>
                          <m:sSubPr>
                            <m:ctrlPr>
                              <a:rPr lang="es-CL" sz="1400" i="1">
                                <a:solidFill>
                                  <a:schemeClr val="tx1"/>
                                </a:solidFill>
                                <a:effectLst/>
                                <a:latin typeface="Cambria Math" panose="02040503050406030204" pitchFamily="18" charset="0"/>
                                <a:ea typeface="+mn-ea"/>
                                <a:cs typeface="+mn-cs"/>
                              </a:rPr>
                            </m:ctrlPr>
                          </m:sSubPr>
                          <m:e>
                            <m:r>
                              <a:rPr lang="es-CL" sz="1400" b="0" i="1">
                                <a:solidFill>
                                  <a:schemeClr val="tx1"/>
                                </a:solidFill>
                                <a:effectLst/>
                                <a:latin typeface="Cambria Math" panose="02040503050406030204" pitchFamily="18" charset="0"/>
                                <a:ea typeface="+mn-ea"/>
                                <a:cs typeface="+mn-cs"/>
                              </a:rPr>
                              <m:t>𝐴</m:t>
                            </m:r>
                          </m:e>
                          <m:sub>
                            <m:r>
                              <a:rPr lang="es-CL" sz="1400" b="0" i="1">
                                <a:solidFill>
                                  <a:schemeClr val="tx1"/>
                                </a:solidFill>
                                <a:effectLst/>
                                <a:latin typeface="Cambria Math" panose="02040503050406030204" pitchFamily="18" charset="0"/>
                                <a:ea typeface="+mn-ea"/>
                                <a:cs typeface="+mn-cs"/>
                              </a:rPr>
                              <m:t>𝑓</m:t>
                            </m:r>
                          </m:sub>
                        </m:sSub>
                        <m:r>
                          <a:rPr lang="es-CL" sz="1400" b="0" i="1">
                            <a:solidFill>
                              <a:schemeClr val="tx1"/>
                            </a:solidFill>
                            <a:effectLst/>
                            <a:latin typeface="Cambria Math" panose="02040503050406030204" pitchFamily="18" charset="0"/>
                            <a:ea typeface="+mn-ea"/>
                            <a:cs typeface="+mn-cs"/>
                          </a:rPr>
                          <m:t>+</m:t>
                        </m:r>
                        <m:sSub>
                          <m:sSubPr>
                            <m:ctrlPr>
                              <a:rPr lang="es-CL" sz="1400" i="1">
                                <a:solidFill>
                                  <a:schemeClr val="tx1"/>
                                </a:solidFill>
                                <a:effectLst/>
                                <a:latin typeface="Cambria Math" panose="02040503050406030204" pitchFamily="18" charset="0"/>
                                <a:ea typeface="+mn-ea"/>
                                <a:cs typeface="+mn-cs"/>
                              </a:rPr>
                            </m:ctrlPr>
                          </m:sSubPr>
                          <m:e>
                            <m:r>
                              <a:rPr lang="es-CL" sz="1400" b="0" i="1">
                                <a:solidFill>
                                  <a:schemeClr val="tx1"/>
                                </a:solidFill>
                                <a:effectLst/>
                                <a:latin typeface="Cambria Math" panose="02040503050406030204" pitchFamily="18" charset="0"/>
                                <a:ea typeface="+mn-ea"/>
                                <a:cs typeface="+mn-cs"/>
                              </a:rPr>
                              <m:t>𝑈</m:t>
                            </m:r>
                          </m:e>
                          <m:sub>
                            <m:r>
                              <a:rPr lang="es-CL" sz="1400" b="0" i="1">
                                <a:solidFill>
                                  <a:schemeClr val="tx1"/>
                                </a:solidFill>
                                <a:effectLst/>
                                <a:latin typeface="Cambria Math" panose="02040503050406030204" pitchFamily="18" charset="0"/>
                                <a:ea typeface="+mn-ea"/>
                                <a:cs typeface="+mn-cs"/>
                              </a:rPr>
                              <m:t>𝑔</m:t>
                            </m:r>
                          </m:sub>
                        </m:sSub>
                        <m:sSub>
                          <m:sSubPr>
                            <m:ctrlPr>
                              <a:rPr lang="es-CL" sz="1400" i="1">
                                <a:solidFill>
                                  <a:schemeClr val="tx1"/>
                                </a:solidFill>
                                <a:effectLst/>
                                <a:latin typeface="Cambria Math" panose="02040503050406030204" pitchFamily="18" charset="0"/>
                                <a:ea typeface="+mn-ea"/>
                                <a:cs typeface="+mn-cs"/>
                              </a:rPr>
                            </m:ctrlPr>
                          </m:sSubPr>
                          <m:e>
                            <m:r>
                              <a:rPr lang="es-CL" sz="1400" b="0" i="1">
                                <a:solidFill>
                                  <a:schemeClr val="tx1"/>
                                </a:solidFill>
                                <a:effectLst/>
                                <a:latin typeface="Cambria Math" panose="02040503050406030204" pitchFamily="18" charset="0"/>
                                <a:ea typeface="+mn-ea"/>
                                <a:cs typeface="+mn-cs"/>
                              </a:rPr>
                              <m:t>𝐴</m:t>
                            </m:r>
                          </m:e>
                          <m:sub>
                            <m:r>
                              <a:rPr lang="es-CL" sz="1400" b="0" i="1">
                                <a:solidFill>
                                  <a:schemeClr val="tx1"/>
                                </a:solidFill>
                                <a:effectLst/>
                                <a:latin typeface="Cambria Math" panose="02040503050406030204" pitchFamily="18" charset="0"/>
                                <a:ea typeface="+mn-ea"/>
                                <a:cs typeface="+mn-cs"/>
                              </a:rPr>
                              <m:t>𝑔</m:t>
                            </m:r>
                          </m:sub>
                        </m:sSub>
                        <m:r>
                          <a:rPr lang="es-CL" sz="1400" b="0" i="1">
                            <a:solidFill>
                              <a:schemeClr val="tx1"/>
                            </a:solidFill>
                            <a:effectLst/>
                            <a:latin typeface="Cambria Math" panose="02040503050406030204" pitchFamily="18" charset="0"/>
                            <a:ea typeface="+mn-ea"/>
                            <a:cs typeface="+mn-cs"/>
                          </a:rPr>
                          <m:t>+</m:t>
                        </m:r>
                        <m:sSub>
                          <m:sSubPr>
                            <m:ctrlPr>
                              <a:rPr lang="es-CL" sz="1400" i="1">
                                <a:solidFill>
                                  <a:schemeClr val="tx1"/>
                                </a:solidFill>
                                <a:effectLst/>
                                <a:latin typeface="Cambria Math" panose="02040503050406030204" pitchFamily="18" charset="0"/>
                                <a:ea typeface="+mn-ea"/>
                                <a:cs typeface="+mn-cs"/>
                              </a:rPr>
                            </m:ctrlPr>
                          </m:sSubPr>
                          <m:e>
                            <m:r>
                              <m:rPr>
                                <m:sty m:val="p"/>
                              </m:rPr>
                              <a:rPr lang="el-GR" sz="1400" i="1">
                                <a:solidFill>
                                  <a:schemeClr val="tx1"/>
                                </a:solidFill>
                                <a:effectLst/>
                                <a:latin typeface="Cambria Math" panose="02040503050406030204" pitchFamily="18" charset="0"/>
                                <a:ea typeface="Cambria Math" panose="02040503050406030204" pitchFamily="18" charset="0"/>
                                <a:cs typeface="+mn-cs"/>
                              </a:rPr>
                              <m:t>Ψ</m:t>
                            </m:r>
                          </m:e>
                          <m:sub>
                            <m:r>
                              <a:rPr lang="es-CL" sz="1400" b="0" i="1">
                                <a:solidFill>
                                  <a:schemeClr val="tx1"/>
                                </a:solidFill>
                                <a:effectLst/>
                                <a:latin typeface="Cambria Math" panose="02040503050406030204" pitchFamily="18" charset="0"/>
                                <a:ea typeface="+mn-ea"/>
                                <a:cs typeface="+mn-cs"/>
                              </a:rPr>
                              <m:t>𝑔</m:t>
                            </m:r>
                          </m:sub>
                        </m:sSub>
                        <m:sSub>
                          <m:sSubPr>
                            <m:ctrlPr>
                              <a:rPr lang="es-CL" sz="1400" i="1">
                                <a:solidFill>
                                  <a:schemeClr val="tx1"/>
                                </a:solidFill>
                                <a:effectLst/>
                                <a:latin typeface="Cambria Math" panose="02040503050406030204" pitchFamily="18" charset="0"/>
                                <a:ea typeface="+mn-ea"/>
                                <a:cs typeface="+mn-cs"/>
                              </a:rPr>
                            </m:ctrlPr>
                          </m:sSubPr>
                          <m:e>
                            <m:r>
                              <a:rPr lang="es-CL" sz="1400" b="0" i="1">
                                <a:solidFill>
                                  <a:schemeClr val="tx1"/>
                                </a:solidFill>
                                <a:effectLst/>
                                <a:latin typeface="Cambria Math" panose="02040503050406030204" pitchFamily="18" charset="0"/>
                                <a:ea typeface="+mn-ea"/>
                                <a:cs typeface="+mn-cs"/>
                              </a:rPr>
                              <m:t>𝑙</m:t>
                            </m:r>
                          </m:e>
                          <m:sub>
                            <m:r>
                              <a:rPr lang="es-CL" sz="1400" b="0" i="1">
                                <a:solidFill>
                                  <a:schemeClr val="tx1"/>
                                </a:solidFill>
                                <a:effectLst/>
                                <a:latin typeface="Cambria Math" panose="02040503050406030204" pitchFamily="18" charset="0"/>
                                <a:ea typeface="+mn-ea"/>
                                <a:cs typeface="+mn-cs"/>
                              </a:rPr>
                              <m:t>𝑔</m:t>
                            </m:r>
                          </m:sub>
                        </m:sSub>
                      </m:num>
                      <m:den>
                        <m:sSub>
                          <m:sSubPr>
                            <m:ctrlPr>
                              <a:rPr lang="es-CL" sz="1400" i="1">
                                <a:solidFill>
                                  <a:schemeClr val="tx1"/>
                                </a:solidFill>
                                <a:effectLst/>
                                <a:latin typeface="Cambria Math" panose="02040503050406030204" pitchFamily="18" charset="0"/>
                                <a:ea typeface="+mn-ea"/>
                                <a:cs typeface="+mn-cs"/>
                              </a:rPr>
                            </m:ctrlPr>
                          </m:sSubPr>
                          <m:e>
                            <m:r>
                              <a:rPr lang="es-CL" sz="1400" b="0" i="1">
                                <a:solidFill>
                                  <a:schemeClr val="tx1"/>
                                </a:solidFill>
                                <a:effectLst/>
                                <a:latin typeface="Cambria Math" panose="02040503050406030204" pitchFamily="18" charset="0"/>
                                <a:ea typeface="+mn-ea"/>
                                <a:cs typeface="+mn-cs"/>
                              </a:rPr>
                              <m:t>𝐴</m:t>
                            </m:r>
                          </m:e>
                          <m:sub>
                            <m:r>
                              <a:rPr lang="es-CL" sz="1400" b="0" i="1">
                                <a:solidFill>
                                  <a:schemeClr val="tx1"/>
                                </a:solidFill>
                                <a:effectLst/>
                                <a:latin typeface="Cambria Math" panose="02040503050406030204" pitchFamily="18" charset="0"/>
                                <a:ea typeface="+mn-ea"/>
                                <a:cs typeface="+mn-cs"/>
                              </a:rPr>
                              <m:t>𝑓</m:t>
                            </m:r>
                          </m:sub>
                        </m:sSub>
                        <m:r>
                          <a:rPr lang="es-CL" sz="1400" b="0" i="1">
                            <a:solidFill>
                              <a:schemeClr val="tx1"/>
                            </a:solidFill>
                            <a:effectLst/>
                            <a:latin typeface="Cambria Math" panose="02040503050406030204" pitchFamily="18" charset="0"/>
                            <a:ea typeface="+mn-ea"/>
                            <a:cs typeface="+mn-cs"/>
                          </a:rPr>
                          <m:t>+</m:t>
                        </m:r>
                        <m:sSub>
                          <m:sSubPr>
                            <m:ctrlPr>
                              <a:rPr lang="es-CL" sz="1400" i="1">
                                <a:solidFill>
                                  <a:schemeClr val="tx1"/>
                                </a:solidFill>
                                <a:effectLst/>
                                <a:latin typeface="Cambria Math" panose="02040503050406030204" pitchFamily="18" charset="0"/>
                                <a:ea typeface="+mn-ea"/>
                                <a:cs typeface="+mn-cs"/>
                              </a:rPr>
                            </m:ctrlPr>
                          </m:sSubPr>
                          <m:e>
                            <m:r>
                              <a:rPr lang="es-CL" sz="1400" b="0" i="1">
                                <a:solidFill>
                                  <a:schemeClr val="tx1"/>
                                </a:solidFill>
                                <a:effectLst/>
                                <a:latin typeface="Cambria Math" panose="02040503050406030204" pitchFamily="18" charset="0"/>
                                <a:ea typeface="+mn-ea"/>
                                <a:cs typeface="+mn-cs"/>
                              </a:rPr>
                              <m:t>𝐴</m:t>
                            </m:r>
                          </m:e>
                          <m:sub>
                            <m:r>
                              <a:rPr lang="es-CL" sz="1400" b="0" i="1">
                                <a:solidFill>
                                  <a:schemeClr val="tx1"/>
                                </a:solidFill>
                                <a:effectLst/>
                                <a:latin typeface="Cambria Math" panose="02040503050406030204" pitchFamily="18" charset="0"/>
                                <a:ea typeface="+mn-ea"/>
                                <a:cs typeface="+mn-cs"/>
                              </a:rPr>
                              <m:t>𝑔</m:t>
                            </m:r>
                          </m:sub>
                        </m:sSub>
                      </m:den>
                    </m:f>
                  </m:oMath>
                </m:oMathPara>
              </a14:m>
              <a:endParaRPr lang="es-CL" sz="1400"/>
            </a:p>
          </xdr:txBody>
        </xdr:sp>
      </mc:Choice>
      <mc:Fallback xmlns="">
        <xdr:sp macro="" textlink="">
          <xdr:nvSpPr>
            <xdr:cNvPr id="2" name="CuadroTexto 1"/>
            <xdr:cNvSpPr txBox="1"/>
          </xdr:nvSpPr>
          <xdr:spPr>
            <a:xfrm>
              <a:off x="1533525" y="9010650"/>
              <a:ext cx="2080378" cy="47628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r>
                <a:rPr lang="es-CL" sz="1400" b="0" i="0">
                  <a:latin typeface="Cambria Math" panose="02040503050406030204" pitchFamily="18" charset="0"/>
                </a:rPr>
                <a:t>𝑈_𝑤=(</a:t>
              </a:r>
              <a:r>
                <a:rPr lang="es-CL" sz="1400" b="0" i="0">
                  <a:solidFill>
                    <a:schemeClr val="tx1"/>
                  </a:solidFill>
                  <a:effectLst/>
                  <a:latin typeface="Cambria Math" panose="02040503050406030204" pitchFamily="18" charset="0"/>
                  <a:ea typeface="+mn-ea"/>
                  <a:cs typeface="+mn-cs"/>
                </a:rPr>
                <a:t>𝑈</a:t>
              </a:r>
              <a:r>
                <a:rPr lang="es-CL" sz="1400" b="0" i="0">
                  <a:solidFill>
                    <a:schemeClr val="tx1"/>
                  </a:solidFill>
                  <a:effectLst/>
                  <a:latin typeface="+mn-lt"/>
                  <a:ea typeface="+mn-ea"/>
                  <a:cs typeface="+mn-cs"/>
                </a:rPr>
                <a:t>_</a:t>
              </a:r>
              <a:r>
                <a:rPr lang="es-CL" sz="1400" b="0" i="0">
                  <a:solidFill>
                    <a:schemeClr val="tx1"/>
                  </a:solidFill>
                  <a:effectLst/>
                  <a:latin typeface="Cambria Math" panose="02040503050406030204" pitchFamily="18" charset="0"/>
                  <a:ea typeface="+mn-ea"/>
                  <a:cs typeface="+mn-cs"/>
                </a:rPr>
                <a:t>𝑓</a:t>
              </a:r>
              <a:r>
                <a:rPr lang="es-CL" sz="1400" b="0" i="0">
                  <a:solidFill>
                    <a:schemeClr val="tx1"/>
                  </a:solidFill>
                  <a:effectLst/>
                  <a:latin typeface="+mn-lt"/>
                  <a:ea typeface="+mn-ea"/>
                  <a:cs typeface="+mn-cs"/>
                </a:rPr>
                <a:t> </a:t>
              </a:r>
              <a:r>
                <a:rPr lang="es-CL" sz="1400" b="0" i="0">
                  <a:solidFill>
                    <a:schemeClr val="tx1"/>
                  </a:solidFill>
                  <a:effectLst/>
                  <a:latin typeface="Cambria Math" panose="02040503050406030204" pitchFamily="18" charset="0"/>
                  <a:ea typeface="+mn-ea"/>
                  <a:cs typeface="+mn-cs"/>
                </a:rPr>
                <a:t>𝐴</a:t>
              </a:r>
              <a:r>
                <a:rPr lang="es-CL" sz="1400" b="0" i="0">
                  <a:solidFill>
                    <a:schemeClr val="tx1"/>
                  </a:solidFill>
                  <a:effectLst/>
                  <a:latin typeface="+mn-lt"/>
                  <a:ea typeface="+mn-ea"/>
                  <a:cs typeface="+mn-cs"/>
                </a:rPr>
                <a:t>_</a:t>
              </a:r>
              <a:r>
                <a:rPr lang="es-CL" sz="1400" b="0" i="0">
                  <a:solidFill>
                    <a:schemeClr val="tx1"/>
                  </a:solidFill>
                  <a:effectLst/>
                  <a:latin typeface="Cambria Math" panose="02040503050406030204" pitchFamily="18" charset="0"/>
                  <a:ea typeface="+mn-ea"/>
                  <a:cs typeface="+mn-cs"/>
                </a:rPr>
                <a:t>𝑓+𝑈</a:t>
              </a:r>
              <a:r>
                <a:rPr lang="es-CL" sz="1400" b="0" i="0">
                  <a:solidFill>
                    <a:schemeClr val="tx1"/>
                  </a:solidFill>
                  <a:effectLst/>
                  <a:latin typeface="+mn-lt"/>
                  <a:ea typeface="+mn-ea"/>
                  <a:cs typeface="+mn-cs"/>
                </a:rPr>
                <a:t>_</a:t>
              </a:r>
              <a:r>
                <a:rPr lang="es-CL" sz="1400" b="0" i="0">
                  <a:solidFill>
                    <a:schemeClr val="tx1"/>
                  </a:solidFill>
                  <a:effectLst/>
                  <a:latin typeface="Cambria Math" panose="02040503050406030204" pitchFamily="18" charset="0"/>
                  <a:ea typeface="+mn-ea"/>
                  <a:cs typeface="+mn-cs"/>
                </a:rPr>
                <a:t>𝑔</a:t>
              </a:r>
              <a:r>
                <a:rPr lang="es-CL" sz="1400" b="0" i="0">
                  <a:solidFill>
                    <a:schemeClr val="tx1"/>
                  </a:solidFill>
                  <a:effectLst/>
                  <a:latin typeface="+mn-lt"/>
                  <a:ea typeface="+mn-ea"/>
                  <a:cs typeface="+mn-cs"/>
                </a:rPr>
                <a:t> </a:t>
              </a:r>
              <a:r>
                <a:rPr lang="es-CL" sz="1400" b="0" i="0">
                  <a:solidFill>
                    <a:schemeClr val="tx1"/>
                  </a:solidFill>
                  <a:effectLst/>
                  <a:latin typeface="Cambria Math" panose="02040503050406030204" pitchFamily="18" charset="0"/>
                  <a:ea typeface="+mn-ea"/>
                  <a:cs typeface="+mn-cs"/>
                </a:rPr>
                <a:t>𝐴</a:t>
              </a:r>
              <a:r>
                <a:rPr lang="es-CL" sz="1400" b="0" i="0">
                  <a:solidFill>
                    <a:schemeClr val="tx1"/>
                  </a:solidFill>
                  <a:effectLst/>
                  <a:latin typeface="+mn-lt"/>
                  <a:ea typeface="+mn-ea"/>
                  <a:cs typeface="+mn-cs"/>
                </a:rPr>
                <a:t>_</a:t>
              </a:r>
              <a:r>
                <a:rPr lang="es-CL" sz="1400" b="0" i="0">
                  <a:solidFill>
                    <a:schemeClr val="tx1"/>
                  </a:solidFill>
                  <a:effectLst/>
                  <a:latin typeface="Cambria Math" panose="02040503050406030204" pitchFamily="18" charset="0"/>
                  <a:ea typeface="+mn-ea"/>
                  <a:cs typeface="+mn-cs"/>
                </a:rPr>
                <a:t>𝑔+</a:t>
              </a:r>
              <a:r>
                <a:rPr lang="el-GR" sz="1400" i="0">
                  <a:solidFill>
                    <a:schemeClr val="tx1"/>
                  </a:solidFill>
                  <a:effectLst/>
                  <a:latin typeface="Cambria Math" panose="02040503050406030204" pitchFamily="18" charset="0"/>
                  <a:ea typeface="Cambria Math" panose="02040503050406030204" pitchFamily="18" charset="0"/>
                  <a:cs typeface="+mn-cs"/>
                </a:rPr>
                <a:t>Ψ</a:t>
              </a:r>
              <a:r>
                <a:rPr lang="es-CL" sz="1400" i="0">
                  <a:solidFill>
                    <a:schemeClr val="tx1"/>
                  </a:solidFill>
                  <a:effectLst/>
                  <a:latin typeface="+mn-lt"/>
                  <a:ea typeface="+mn-ea"/>
                  <a:cs typeface="+mn-cs"/>
                </a:rPr>
                <a:t>_</a:t>
              </a:r>
              <a:r>
                <a:rPr lang="es-CL" sz="1400" b="0" i="0">
                  <a:solidFill>
                    <a:schemeClr val="tx1"/>
                  </a:solidFill>
                  <a:effectLst/>
                  <a:latin typeface="Cambria Math" panose="02040503050406030204" pitchFamily="18" charset="0"/>
                  <a:ea typeface="+mn-ea"/>
                  <a:cs typeface="+mn-cs"/>
                </a:rPr>
                <a:t>𝑔</a:t>
              </a:r>
              <a:r>
                <a:rPr lang="es-CL" sz="1400" b="0" i="0">
                  <a:solidFill>
                    <a:schemeClr val="tx1"/>
                  </a:solidFill>
                  <a:effectLst/>
                  <a:latin typeface="+mn-lt"/>
                  <a:ea typeface="+mn-ea"/>
                  <a:cs typeface="+mn-cs"/>
                </a:rPr>
                <a:t> </a:t>
              </a:r>
              <a:r>
                <a:rPr lang="es-CL" sz="1400" b="0" i="0">
                  <a:solidFill>
                    <a:schemeClr val="tx1"/>
                  </a:solidFill>
                  <a:effectLst/>
                  <a:latin typeface="Cambria Math" panose="02040503050406030204" pitchFamily="18" charset="0"/>
                  <a:ea typeface="+mn-ea"/>
                  <a:cs typeface="+mn-cs"/>
                </a:rPr>
                <a:t>𝑙</a:t>
              </a:r>
              <a:r>
                <a:rPr lang="es-CL" sz="1400" b="0" i="0">
                  <a:solidFill>
                    <a:schemeClr val="tx1"/>
                  </a:solidFill>
                  <a:effectLst/>
                  <a:latin typeface="+mn-lt"/>
                  <a:ea typeface="+mn-ea"/>
                  <a:cs typeface="+mn-cs"/>
                </a:rPr>
                <a:t>_</a:t>
              </a:r>
              <a:r>
                <a:rPr lang="es-CL" sz="1400" b="0" i="0">
                  <a:solidFill>
                    <a:schemeClr val="tx1"/>
                  </a:solidFill>
                  <a:effectLst/>
                  <a:latin typeface="Cambria Math" panose="02040503050406030204" pitchFamily="18" charset="0"/>
                  <a:ea typeface="+mn-ea"/>
                  <a:cs typeface="+mn-cs"/>
                </a:rPr>
                <a:t>𝑔)/(𝐴</a:t>
              </a:r>
              <a:r>
                <a:rPr lang="es-CL" sz="1400" b="0" i="0">
                  <a:solidFill>
                    <a:schemeClr val="tx1"/>
                  </a:solidFill>
                  <a:effectLst/>
                  <a:latin typeface="+mn-lt"/>
                  <a:ea typeface="+mn-ea"/>
                  <a:cs typeface="+mn-cs"/>
                </a:rPr>
                <a:t>_</a:t>
              </a:r>
              <a:r>
                <a:rPr lang="es-CL" sz="1400" b="0" i="0">
                  <a:solidFill>
                    <a:schemeClr val="tx1"/>
                  </a:solidFill>
                  <a:effectLst/>
                  <a:latin typeface="Cambria Math" panose="02040503050406030204" pitchFamily="18" charset="0"/>
                  <a:ea typeface="+mn-ea"/>
                  <a:cs typeface="+mn-cs"/>
                </a:rPr>
                <a:t>𝑓+𝐴</a:t>
              </a:r>
              <a:r>
                <a:rPr lang="es-CL" sz="1400" b="0" i="0">
                  <a:solidFill>
                    <a:schemeClr val="tx1"/>
                  </a:solidFill>
                  <a:effectLst/>
                  <a:latin typeface="+mn-lt"/>
                  <a:ea typeface="+mn-ea"/>
                  <a:cs typeface="+mn-cs"/>
                </a:rPr>
                <a:t>_</a:t>
              </a:r>
              <a:r>
                <a:rPr lang="es-CL" sz="1400" b="0" i="0">
                  <a:solidFill>
                    <a:schemeClr val="tx1"/>
                  </a:solidFill>
                  <a:effectLst/>
                  <a:latin typeface="Cambria Math" panose="02040503050406030204" pitchFamily="18" charset="0"/>
                  <a:ea typeface="+mn-ea"/>
                  <a:cs typeface="+mn-cs"/>
                </a:rPr>
                <a:t>𝑔 )</a:t>
              </a:r>
              <a:endParaRPr lang="es-CL" sz="1400"/>
            </a:p>
          </xdr:txBody>
        </xdr:sp>
      </mc:Fallback>
    </mc:AlternateContent>
    <xdr:clientData/>
  </xdr:oneCellAnchor>
  <xdr:oneCellAnchor>
    <xdr:from>
      <xdr:col>1</xdr:col>
      <xdr:colOff>0</xdr:colOff>
      <xdr:row>54</xdr:row>
      <xdr:rowOff>0</xdr:rowOff>
    </xdr:from>
    <xdr:ext cx="232691" cy="187872"/>
    <mc:AlternateContent xmlns:mc="http://schemas.openxmlformats.org/markup-compatibility/2006" xmlns:a14="http://schemas.microsoft.com/office/drawing/2010/main">
      <mc:Choice Requires="a14">
        <xdr:sp macro="" textlink="">
          <xdr:nvSpPr>
            <xdr:cNvPr id="4" name="CuadroTexto 3">
              <a:extLst>
                <a:ext uri="{FF2B5EF4-FFF2-40B4-BE49-F238E27FC236}">
                  <a16:creationId xmlns:a16="http://schemas.microsoft.com/office/drawing/2014/main" id="{00000000-0008-0000-0000-000004000000}"/>
                </a:ext>
              </a:extLst>
            </xdr:cNvPr>
            <xdr:cNvSpPr txBox="1"/>
          </xdr:nvSpPr>
          <xdr:spPr>
            <a:xfrm>
              <a:off x="95250" y="9629775"/>
              <a:ext cx="232691" cy="18787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14:m>
                <m:oMathPara xmlns:m="http://schemas.openxmlformats.org/officeDocument/2006/math">
                  <m:oMathParaPr>
                    <m:jc m:val="centerGroup"/>
                  </m:oMathParaPr>
                  <m:oMath xmlns:m="http://schemas.openxmlformats.org/officeDocument/2006/math">
                    <m:sSub>
                      <m:sSubPr>
                        <m:ctrlPr>
                          <a:rPr lang="es-CL" sz="1200" i="1">
                            <a:latin typeface="Cambria Math" panose="02040503050406030204" pitchFamily="18" charset="0"/>
                          </a:rPr>
                        </m:ctrlPr>
                      </m:sSubPr>
                      <m:e>
                        <m:r>
                          <a:rPr lang="es-CL" sz="1200" b="0" i="1">
                            <a:latin typeface="Cambria Math" panose="02040503050406030204" pitchFamily="18" charset="0"/>
                          </a:rPr>
                          <m:t>𝑈</m:t>
                        </m:r>
                      </m:e>
                      <m:sub>
                        <m:r>
                          <a:rPr lang="es-CL" sz="1200" b="0" i="1">
                            <a:latin typeface="Cambria Math" panose="02040503050406030204" pitchFamily="18" charset="0"/>
                          </a:rPr>
                          <m:t>𝑤</m:t>
                        </m:r>
                      </m:sub>
                    </m:sSub>
                  </m:oMath>
                </m:oMathPara>
              </a14:m>
              <a:endParaRPr lang="es-CL" sz="1200"/>
            </a:p>
          </xdr:txBody>
        </xdr:sp>
      </mc:Choice>
      <mc:Fallback xmlns="">
        <xdr:sp macro="" textlink="">
          <xdr:nvSpPr>
            <xdr:cNvPr id="4" name="CuadroTexto 3"/>
            <xdr:cNvSpPr txBox="1"/>
          </xdr:nvSpPr>
          <xdr:spPr>
            <a:xfrm>
              <a:off x="95250" y="9629775"/>
              <a:ext cx="232691" cy="18787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r>
                <a:rPr lang="es-CL" sz="1200" b="0" i="0">
                  <a:latin typeface="Cambria Math" panose="02040503050406030204" pitchFamily="18" charset="0"/>
                </a:rPr>
                <a:t>𝑈_𝑤</a:t>
              </a:r>
              <a:endParaRPr lang="es-CL" sz="1200"/>
            </a:p>
          </xdr:txBody>
        </xdr:sp>
      </mc:Fallback>
    </mc:AlternateContent>
    <xdr:clientData/>
  </xdr:oneCellAnchor>
  <xdr:oneCellAnchor>
    <xdr:from>
      <xdr:col>1</xdr:col>
      <xdr:colOff>0</xdr:colOff>
      <xdr:row>55</xdr:row>
      <xdr:rowOff>0</xdr:rowOff>
    </xdr:from>
    <xdr:ext cx="199029" cy="199735"/>
    <mc:AlternateContent xmlns:mc="http://schemas.openxmlformats.org/markup-compatibility/2006" xmlns:a14="http://schemas.microsoft.com/office/drawing/2010/main">
      <mc:Choice Requires="a14">
        <xdr:sp macro="" textlink="">
          <xdr:nvSpPr>
            <xdr:cNvPr id="8" name="CuadroTexto 7">
              <a:extLst>
                <a:ext uri="{FF2B5EF4-FFF2-40B4-BE49-F238E27FC236}">
                  <a16:creationId xmlns:a16="http://schemas.microsoft.com/office/drawing/2014/main" id="{00000000-0008-0000-0000-000008000000}"/>
                </a:ext>
              </a:extLst>
            </xdr:cNvPr>
            <xdr:cNvSpPr txBox="1"/>
          </xdr:nvSpPr>
          <xdr:spPr>
            <a:xfrm>
              <a:off x="95250" y="9820275"/>
              <a:ext cx="199029" cy="19973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14:m>
                <m:oMathPara xmlns:m="http://schemas.openxmlformats.org/officeDocument/2006/math">
                  <m:oMathParaPr>
                    <m:jc m:val="centerGroup"/>
                  </m:oMathParaPr>
                  <m:oMath xmlns:m="http://schemas.openxmlformats.org/officeDocument/2006/math">
                    <m:sSub>
                      <m:sSubPr>
                        <m:ctrlPr>
                          <a:rPr lang="es-CL" sz="1200" i="1">
                            <a:latin typeface="Cambria Math" panose="02040503050406030204" pitchFamily="18" charset="0"/>
                          </a:rPr>
                        </m:ctrlPr>
                      </m:sSubPr>
                      <m:e>
                        <m:r>
                          <a:rPr lang="es-CL" sz="1200" b="0" i="1">
                            <a:latin typeface="Cambria Math" panose="02040503050406030204" pitchFamily="18" charset="0"/>
                          </a:rPr>
                          <m:t>𝑈</m:t>
                        </m:r>
                      </m:e>
                      <m:sub>
                        <m:r>
                          <a:rPr lang="es-CL" sz="1200" b="0" i="1">
                            <a:latin typeface="Cambria Math" panose="02040503050406030204" pitchFamily="18" charset="0"/>
                          </a:rPr>
                          <m:t>𝑓</m:t>
                        </m:r>
                      </m:sub>
                    </m:sSub>
                  </m:oMath>
                </m:oMathPara>
              </a14:m>
              <a:endParaRPr lang="es-CL" sz="1200"/>
            </a:p>
          </xdr:txBody>
        </xdr:sp>
      </mc:Choice>
      <mc:Fallback xmlns="">
        <xdr:sp macro="" textlink="">
          <xdr:nvSpPr>
            <xdr:cNvPr id="8" name="CuadroTexto 7"/>
            <xdr:cNvSpPr txBox="1"/>
          </xdr:nvSpPr>
          <xdr:spPr>
            <a:xfrm>
              <a:off x="95250" y="9820275"/>
              <a:ext cx="199029" cy="19973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r>
                <a:rPr lang="es-CL" sz="1200" b="0" i="0">
                  <a:latin typeface="Cambria Math" panose="02040503050406030204" pitchFamily="18" charset="0"/>
                </a:rPr>
                <a:t>𝑈_𝑓</a:t>
              </a:r>
              <a:endParaRPr lang="es-CL" sz="1200"/>
            </a:p>
          </xdr:txBody>
        </xdr:sp>
      </mc:Fallback>
    </mc:AlternateContent>
    <xdr:clientData/>
  </xdr:oneCellAnchor>
  <xdr:oneCellAnchor>
    <xdr:from>
      <xdr:col>1</xdr:col>
      <xdr:colOff>0</xdr:colOff>
      <xdr:row>56</xdr:row>
      <xdr:rowOff>0</xdr:rowOff>
    </xdr:from>
    <xdr:ext cx="199798" cy="199735"/>
    <mc:AlternateContent xmlns:mc="http://schemas.openxmlformats.org/markup-compatibility/2006" xmlns:a14="http://schemas.microsoft.com/office/drawing/2010/main">
      <mc:Choice Requires="a14">
        <xdr:sp macro="" textlink="">
          <xdr:nvSpPr>
            <xdr:cNvPr id="9" name="CuadroTexto 8">
              <a:extLst>
                <a:ext uri="{FF2B5EF4-FFF2-40B4-BE49-F238E27FC236}">
                  <a16:creationId xmlns:a16="http://schemas.microsoft.com/office/drawing/2014/main" id="{00000000-0008-0000-0000-000009000000}"/>
                </a:ext>
              </a:extLst>
            </xdr:cNvPr>
            <xdr:cNvSpPr txBox="1"/>
          </xdr:nvSpPr>
          <xdr:spPr>
            <a:xfrm>
              <a:off x="95250" y="10010775"/>
              <a:ext cx="199798" cy="19973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14:m>
                <m:oMathPara xmlns:m="http://schemas.openxmlformats.org/officeDocument/2006/math">
                  <m:oMathParaPr>
                    <m:jc m:val="centerGroup"/>
                  </m:oMathParaPr>
                  <m:oMath xmlns:m="http://schemas.openxmlformats.org/officeDocument/2006/math">
                    <m:sSub>
                      <m:sSubPr>
                        <m:ctrlPr>
                          <a:rPr lang="es-CL" sz="1200" i="1">
                            <a:latin typeface="Cambria Math" panose="02040503050406030204" pitchFamily="18" charset="0"/>
                          </a:rPr>
                        </m:ctrlPr>
                      </m:sSubPr>
                      <m:e>
                        <m:r>
                          <a:rPr lang="es-CL" sz="1200" b="0" i="1">
                            <a:latin typeface="Cambria Math" panose="02040503050406030204" pitchFamily="18" charset="0"/>
                          </a:rPr>
                          <m:t>𝐴</m:t>
                        </m:r>
                      </m:e>
                      <m:sub>
                        <m:r>
                          <a:rPr lang="es-CL" sz="1200" b="0" i="1">
                            <a:latin typeface="Cambria Math" panose="02040503050406030204" pitchFamily="18" charset="0"/>
                          </a:rPr>
                          <m:t>𝑓</m:t>
                        </m:r>
                      </m:sub>
                    </m:sSub>
                  </m:oMath>
                </m:oMathPara>
              </a14:m>
              <a:endParaRPr lang="es-CL" sz="1200"/>
            </a:p>
          </xdr:txBody>
        </xdr:sp>
      </mc:Choice>
      <mc:Fallback xmlns="">
        <xdr:sp macro="" textlink="">
          <xdr:nvSpPr>
            <xdr:cNvPr id="9" name="CuadroTexto 8"/>
            <xdr:cNvSpPr txBox="1"/>
          </xdr:nvSpPr>
          <xdr:spPr>
            <a:xfrm>
              <a:off x="95250" y="10010775"/>
              <a:ext cx="199798" cy="19973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r>
                <a:rPr lang="es-CL" sz="1200" b="0" i="0">
                  <a:latin typeface="Cambria Math" panose="02040503050406030204" pitchFamily="18" charset="0"/>
                </a:rPr>
                <a:t>𝐴_𝑓</a:t>
              </a:r>
              <a:endParaRPr lang="es-CL" sz="1200"/>
            </a:p>
          </xdr:txBody>
        </xdr:sp>
      </mc:Fallback>
    </mc:AlternateContent>
    <xdr:clientData/>
  </xdr:oneCellAnchor>
  <xdr:oneCellAnchor>
    <xdr:from>
      <xdr:col>1</xdr:col>
      <xdr:colOff>0</xdr:colOff>
      <xdr:row>57</xdr:row>
      <xdr:rowOff>0</xdr:rowOff>
    </xdr:from>
    <xdr:ext cx="207429" cy="199991"/>
    <mc:AlternateContent xmlns:mc="http://schemas.openxmlformats.org/markup-compatibility/2006" xmlns:a14="http://schemas.microsoft.com/office/drawing/2010/main">
      <mc:Choice Requires="a14">
        <xdr:sp macro="" textlink="">
          <xdr:nvSpPr>
            <xdr:cNvPr id="10" name="CuadroTexto 9">
              <a:extLst>
                <a:ext uri="{FF2B5EF4-FFF2-40B4-BE49-F238E27FC236}">
                  <a16:creationId xmlns:a16="http://schemas.microsoft.com/office/drawing/2014/main" id="{00000000-0008-0000-0000-00000A000000}"/>
                </a:ext>
              </a:extLst>
            </xdr:cNvPr>
            <xdr:cNvSpPr txBox="1"/>
          </xdr:nvSpPr>
          <xdr:spPr>
            <a:xfrm>
              <a:off x="95250" y="10201275"/>
              <a:ext cx="207429" cy="19999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14:m>
                <m:oMathPara xmlns:m="http://schemas.openxmlformats.org/officeDocument/2006/math">
                  <m:oMathParaPr>
                    <m:jc m:val="centerGroup"/>
                  </m:oMathParaPr>
                  <m:oMath xmlns:m="http://schemas.openxmlformats.org/officeDocument/2006/math">
                    <m:sSub>
                      <m:sSubPr>
                        <m:ctrlPr>
                          <a:rPr lang="es-CL" sz="1200" i="1">
                            <a:latin typeface="Cambria Math" panose="02040503050406030204" pitchFamily="18" charset="0"/>
                          </a:rPr>
                        </m:ctrlPr>
                      </m:sSubPr>
                      <m:e>
                        <m:r>
                          <a:rPr lang="es-CL" sz="1200" b="0" i="1">
                            <a:latin typeface="Cambria Math" panose="02040503050406030204" pitchFamily="18" charset="0"/>
                          </a:rPr>
                          <m:t>𝑈</m:t>
                        </m:r>
                      </m:e>
                      <m:sub>
                        <m:r>
                          <a:rPr lang="es-CL" sz="1200" b="0" i="1">
                            <a:latin typeface="Cambria Math" panose="02040503050406030204" pitchFamily="18" charset="0"/>
                          </a:rPr>
                          <m:t>𝑔</m:t>
                        </m:r>
                      </m:sub>
                    </m:sSub>
                  </m:oMath>
                </m:oMathPara>
              </a14:m>
              <a:endParaRPr lang="es-CL" sz="1200"/>
            </a:p>
          </xdr:txBody>
        </xdr:sp>
      </mc:Choice>
      <mc:Fallback xmlns="">
        <xdr:sp macro="" textlink="">
          <xdr:nvSpPr>
            <xdr:cNvPr id="10" name="CuadroTexto 9"/>
            <xdr:cNvSpPr txBox="1"/>
          </xdr:nvSpPr>
          <xdr:spPr>
            <a:xfrm>
              <a:off x="95250" y="10201275"/>
              <a:ext cx="207429" cy="19999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r>
                <a:rPr lang="es-CL" sz="1200" b="0" i="0">
                  <a:latin typeface="Cambria Math" panose="02040503050406030204" pitchFamily="18" charset="0"/>
                </a:rPr>
                <a:t>𝑈_𝑔</a:t>
              </a:r>
              <a:endParaRPr lang="es-CL" sz="1200"/>
            </a:p>
          </xdr:txBody>
        </xdr:sp>
      </mc:Fallback>
    </mc:AlternateContent>
    <xdr:clientData/>
  </xdr:oneCellAnchor>
  <xdr:oneCellAnchor>
    <xdr:from>
      <xdr:col>1</xdr:col>
      <xdr:colOff>0</xdr:colOff>
      <xdr:row>58</xdr:row>
      <xdr:rowOff>0</xdr:rowOff>
    </xdr:from>
    <xdr:ext cx="208199" cy="199991"/>
    <mc:AlternateContent xmlns:mc="http://schemas.openxmlformats.org/markup-compatibility/2006" xmlns:a14="http://schemas.microsoft.com/office/drawing/2010/main">
      <mc:Choice Requires="a14">
        <xdr:sp macro="" textlink="">
          <xdr:nvSpPr>
            <xdr:cNvPr id="11" name="CuadroTexto 10">
              <a:extLst>
                <a:ext uri="{FF2B5EF4-FFF2-40B4-BE49-F238E27FC236}">
                  <a16:creationId xmlns:a16="http://schemas.microsoft.com/office/drawing/2014/main" id="{00000000-0008-0000-0000-00000B000000}"/>
                </a:ext>
              </a:extLst>
            </xdr:cNvPr>
            <xdr:cNvSpPr txBox="1"/>
          </xdr:nvSpPr>
          <xdr:spPr>
            <a:xfrm>
              <a:off x="95250" y="10391775"/>
              <a:ext cx="208199" cy="19999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14:m>
                <m:oMathPara xmlns:m="http://schemas.openxmlformats.org/officeDocument/2006/math">
                  <m:oMathParaPr>
                    <m:jc m:val="centerGroup"/>
                  </m:oMathParaPr>
                  <m:oMath xmlns:m="http://schemas.openxmlformats.org/officeDocument/2006/math">
                    <m:sSub>
                      <m:sSubPr>
                        <m:ctrlPr>
                          <a:rPr lang="es-CL" sz="1200" i="1">
                            <a:latin typeface="Cambria Math" panose="02040503050406030204" pitchFamily="18" charset="0"/>
                          </a:rPr>
                        </m:ctrlPr>
                      </m:sSubPr>
                      <m:e>
                        <m:r>
                          <a:rPr lang="es-CL" sz="1200" b="0" i="1">
                            <a:latin typeface="Cambria Math" panose="02040503050406030204" pitchFamily="18" charset="0"/>
                          </a:rPr>
                          <m:t>𝐴</m:t>
                        </m:r>
                      </m:e>
                      <m:sub>
                        <m:r>
                          <a:rPr lang="es-CL" sz="1200" b="0" i="1">
                            <a:latin typeface="Cambria Math" panose="02040503050406030204" pitchFamily="18" charset="0"/>
                          </a:rPr>
                          <m:t>𝑔</m:t>
                        </m:r>
                      </m:sub>
                    </m:sSub>
                  </m:oMath>
                </m:oMathPara>
              </a14:m>
              <a:endParaRPr lang="es-CL" sz="1200"/>
            </a:p>
          </xdr:txBody>
        </xdr:sp>
      </mc:Choice>
      <mc:Fallback xmlns="">
        <xdr:sp macro="" textlink="">
          <xdr:nvSpPr>
            <xdr:cNvPr id="11" name="CuadroTexto 10"/>
            <xdr:cNvSpPr txBox="1"/>
          </xdr:nvSpPr>
          <xdr:spPr>
            <a:xfrm>
              <a:off x="95250" y="10391775"/>
              <a:ext cx="208199" cy="19999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r>
                <a:rPr lang="es-CL" sz="1200" b="0" i="0">
                  <a:latin typeface="Cambria Math" panose="02040503050406030204" pitchFamily="18" charset="0"/>
                </a:rPr>
                <a:t>𝐴_𝑔</a:t>
              </a:r>
              <a:endParaRPr lang="es-CL" sz="1200"/>
            </a:p>
          </xdr:txBody>
        </xdr:sp>
      </mc:Fallback>
    </mc:AlternateContent>
    <xdr:clientData/>
  </xdr:oneCellAnchor>
  <xdr:oneCellAnchor>
    <xdr:from>
      <xdr:col>1</xdr:col>
      <xdr:colOff>0</xdr:colOff>
      <xdr:row>59</xdr:row>
      <xdr:rowOff>0</xdr:rowOff>
    </xdr:from>
    <xdr:ext cx="218906" cy="199991"/>
    <mc:AlternateContent xmlns:mc="http://schemas.openxmlformats.org/markup-compatibility/2006" xmlns:a14="http://schemas.microsoft.com/office/drawing/2010/main">
      <mc:Choice Requires="a14">
        <xdr:sp macro="" textlink="">
          <xdr:nvSpPr>
            <xdr:cNvPr id="12" name="CuadroTexto 11">
              <a:extLst>
                <a:ext uri="{FF2B5EF4-FFF2-40B4-BE49-F238E27FC236}">
                  <a16:creationId xmlns:a16="http://schemas.microsoft.com/office/drawing/2014/main" id="{00000000-0008-0000-0000-00000C000000}"/>
                </a:ext>
              </a:extLst>
            </xdr:cNvPr>
            <xdr:cNvSpPr txBox="1"/>
          </xdr:nvSpPr>
          <xdr:spPr>
            <a:xfrm>
              <a:off x="95250" y="10582275"/>
              <a:ext cx="218906" cy="19999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14:m>
                <m:oMathPara xmlns:m="http://schemas.openxmlformats.org/officeDocument/2006/math">
                  <m:oMathParaPr>
                    <m:jc m:val="centerGroup"/>
                  </m:oMathParaPr>
                  <m:oMath xmlns:m="http://schemas.openxmlformats.org/officeDocument/2006/math">
                    <m:sSub>
                      <m:sSubPr>
                        <m:ctrlPr>
                          <a:rPr lang="es-CL" sz="1200" i="1">
                            <a:latin typeface="Cambria Math" panose="02040503050406030204" pitchFamily="18" charset="0"/>
                          </a:rPr>
                        </m:ctrlPr>
                      </m:sSubPr>
                      <m:e>
                        <m:r>
                          <m:rPr>
                            <m:sty m:val="p"/>
                          </m:rPr>
                          <a:rPr lang="el-GR" sz="1200" b="0" i="1">
                            <a:latin typeface="Cambria Math" panose="02040503050406030204" pitchFamily="18" charset="0"/>
                            <a:ea typeface="Cambria Math" panose="02040503050406030204" pitchFamily="18" charset="0"/>
                          </a:rPr>
                          <m:t>Ψ</m:t>
                        </m:r>
                      </m:e>
                      <m:sub>
                        <m:r>
                          <a:rPr lang="es-CL" sz="1200" b="0" i="1">
                            <a:latin typeface="Cambria Math" panose="02040503050406030204" pitchFamily="18" charset="0"/>
                          </a:rPr>
                          <m:t>𝑔</m:t>
                        </m:r>
                      </m:sub>
                    </m:sSub>
                  </m:oMath>
                </m:oMathPara>
              </a14:m>
              <a:endParaRPr lang="es-CL" sz="1200"/>
            </a:p>
          </xdr:txBody>
        </xdr:sp>
      </mc:Choice>
      <mc:Fallback xmlns="">
        <xdr:sp macro="" textlink="">
          <xdr:nvSpPr>
            <xdr:cNvPr id="12" name="CuadroTexto 11"/>
            <xdr:cNvSpPr txBox="1"/>
          </xdr:nvSpPr>
          <xdr:spPr>
            <a:xfrm>
              <a:off x="95250" y="10582275"/>
              <a:ext cx="218906" cy="19999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r>
                <a:rPr lang="el-GR" sz="1200" b="0" i="0">
                  <a:latin typeface="Cambria Math" panose="02040503050406030204" pitchFamily="18" charset="0"/>
                  <a:ea typeface="Cambria Math" panose="02040503050406030204" pitchFamily="18" charset="0"/>
                </a:rPr>
                <a:t>Ψ</a:t>
              </a:r>
              <a:r>
                <a:rPr lang="es-CL" sz="1200" b="0" i="0">
                  <a:latin typeface="Cambria Math" panose="02040503050406030204" pitchFamily="18" charset="0"/>
                  <a:ea typeface="Cambria Math" panose="02040503050406030204" pitchFamily="18" charset="0"/>
                </a:rPr>
                <a:t>_</a:t>
              </a:r>
              <a:r>
                <a:rPr lang="es-CL" sz="1200" b="0" i="0">
                  <a:latin typeface="Cambria Math" panose="02040503050406030204" pitchFamily="18" charset="0"/>
                </a:rPr>
                <a:t>𝑔</a:t>
              </a:r>
              <a:endParaRPr lang="es-CL" sz="1200"/>
            </a:p>
          </xdr:txBody>
        </xdr:sp>
      </mc:Fallback>
    </mc:AlternateContent>
    <xdr:clientData/>
  </xdr:oneCellAnchor>
  <xdr:oneCellAnchor>
    <xdr:from>
      <xdr:col>1</xdr:col>
      <xdr:colOff>0</xdr:colOff>
      <xdr:row>60</xdr:row>
      <xdr:rowOff>0</xdr:rowOff>
    </xdr:from>
    <xdr:ext cx="159339" cy="199991"/>
    <mc:AlternateContent xmlns:mc="http://schemas.openxmlformats.org/markup-compatibility/2006" xmlns:a14="http://schemas.microsoft.com/office/drawing/2010/main">
      <mc:Choice Requires="a14">
        <xdr:sp macro="" textlink="">
          <xdr:nvSpPr>
            <xdr:cNvPr id="13" name="CuadroTexto 12">
              <a:extLst>
                <a:ext uri="{FF2B5EF4-FFF2-40B4-BE49-F238E27FC236}">
                  <a16:creationId xmlns:a16="http://schemas.microsoft.com/office/drawing/2014/main" id="{00000000-0008-0000-0000-00000D000000}"/>
                </a:ext>
              </a:extLst>
            </xdr:cNvPr>
            <xdr:cNvSpPr txBox="1"/>
          </xdr:nvSpPr>
          <xdr:spPr>
            <a:xfrm>
              <a:off x="95250" y="10772775"/>
              <a:ext cx="159339" cy="19999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14:m>
                <m:oMathPara xmlns:m="http://schemas.openxmlformats.org/officeDocument/2006/math">
                  <m:oMathParaPr>
                    <m:jc m:val="centerGroup"/>
                  </m:oMathParaPr>
                  <m:oMath xmlns:m="http://schemas.openxmlformats.org/officeDocument/2006/math">
                    <m:sSub>
                      <m:sSubPr>
                        <m:ctrlPr>
                          <a:rPr lang="es-CL" sz="1200" i="1">
                            <a:latin typeface="Cambria Math" panose="02040503050406030204" pitchFamily="18" charset="0"/>
                          </a:rPr>
                        </m:ctrlPr>
                      </m:sSubPr>
                      <m:e>
                        <m:r>
                          <a:rPr lang="es-CL" sz="1200" b="0" i="1">
                            <a:latin typeface="Cambria Math" panose="02040503050406030204" pitchFamily="18" charset="0"/>
                          </a:rPr>
                          <m:t>𝑙</m:t>
                        </m:r>
                      </m:e>
                      <m:sub>
                        <m:r>
                          <a:rPr lang="es-CL" sz="1200" b="0" i="1">
                            <a:latin typeface="Cambria Math" panose="02040503050406030204" pitchFamily="18" charset="0"/>
                          </a:rPr>
                          <m:t>𝑔</m:t>
                        </m:r>
                      </m:sub>
                    </m:sSub>
                  </m:oMath>
                </m:oMathPara>
              </a14:m>
              <a:endParaRPr lang="es-CL" sz="1200"/>
            </a:p>
          </xdr:txBody>
        </xdr:sp>
      </mc:Choice>
      <mc:Fallback xmlns="">
        <xdr:sp macro="" textlink="">
          <xdr:nvSpPr>
            <xdr:cNvPr id="13" name="CuadroTexto 12"/>
            <xdr:cNvSpPr txBox="1"/>
          </xdr:nvSpPr>
          <xdr:spPr>
            <a:xfrm>
              <a:off x="95250" y="10772775"/>
              <a:ext cx="159339" cy="19999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r>
                <a:rPr lang="es-CL" sz="1200" b="0" i="0">
                  <a:latin typeface="Cambria Math" panose="02040503050406030204" pitchFamily="18" charset="0"/>
                </a:rPr>
                <a:t>𝑙_𝑔</a:t>
              </a:r>
              <a:endParaRPr lang="es-CL" sz="1200"/>
            </a:p>
          </xdr:txBody>
        </xdr:sp>
      </mc:Fallback>
    </mc:AlternateContent>
    <xdr:clientData/>
  </xdr:one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11</xdr:col>
          <xdr:colOff>95250</xdr:colOff>
          <xdr:row>2</xdr:row>
          <xdr:rowOff>76200</xdr:rowOff>
        </xdr:from>
        <xdr:to>
          <xdr:col>31</xdr:col>
          <xdr:colOff>142875</xdr:colOff>
          <xdr:row>7</xdr:row>
          <xdr:rowOff>38100</xdr:rowOff>
        </xdr:to>
        <xdr:sp macro="" textlink="">
          <xdr:nvSpPr>
            <xdr:cNvPr id="2051" name="Group Box 3" hidden="1">
              <a:extLst>
                <a:ext uri="{63B3BB69-23CF-44E3-9099-C40C66FF867C}">
                  <a14:compatExt spid="_x0000_s2051"/>
                </a:ext>
                <a:ext uri="{FF2B5EF4-FFF2-40B4-BE49-F238E27FC236}">
                  <a16:creationId xmlns:a16="http://schemas.microsoft.com/office/drawing/2014/main" id="{00000000-0008-0000-0100-0000030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4</xdr:row>
          <xdr:rowOff>0</xdr:rowOff>
        </xdr:from>
        <xdr:to>
          <xdr:col>14</xdr:col>
          <xdr:colOff>123825</xdr:colOff>
          <xdr:row>5</xdr:row>
          <xdr:rowOff>28575</xdr:rowOff>
        </xdr:to>
        <xdr:sp macro="" textlink="">
          <xdr:nvSpPr>
            <xdr:cNvPr id="2053" name="Option Button 5" hidden="1">
              <a:extLst>
                <a:ext uri="{63B3BB69-23CF-44E3-9099-C40C66FF867C}">
                  <a14:compatExt spid="_x0000_s2053"/>
                </a:ext>
                <a:ext uri="{FF2B5EF4-FFF2-40B4-BE49-F238E27FC236}">
                  <a16:creationId xmlns:a16="http://schemas.microsoft.com/office/drawing/2014/main" id="{00000000-0008-0000-0100-000005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4</xdr:row>
          <xdr:rowOff>0</xdr:rowOff>
        </xdr:from>
        <xdr:to>
          <xdr:col>24</xdr:col>
          <xdr:colOff>123825</xdr:colOff>
          <xdr:row>5</xdr:row>
          <xdr:rowOff>28575</xdr:rowOff>
        </xdr:to>
        <xdr:sp macro="" textlink="">
          <xdr:nvSpPr>
            <xdr:cNvPr id="2054" name="Option Button 6" hidden="1">
              <a:extLst>
                <a:ext uri="{63B3BB69-23CF-44E3-9099-C40C66FF867C}">
                  <a14:compatExt spid="_x0000_s2054"/>
                </a:ext>
                <a:ext uri="{FF2B5EF4-FFF2-40B4-BE49-F238E27FC236}">
                  <a16:creationId xmlns:a16="http://schemas.microsoft.com/office/drawing/2014/main" id="{00000000-0008-0000-0100-000006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7</xdr:col>
      <xdr:colOff>0</xdr:colOff>
      <xdr:row>24</xdr:row>
      <xdr:rowOff>70475</xdr:rowOff>
    </xdr:from>
    <xdr:ext cx="544315" cy="409086"/>
    <mc:AlternateContent xmlns:mc="http://schemas.openxmlformats.org/markup-compatibility/2006" xmlns:a14="http://schemas.microsoft.com/office/drawing/2010/main">
      <mc:Choice Requires="a14">
        <xdr:sp macro="" textlink="">
          <xdr:nvSpPr>
            <xdr:cNvPr id="18" name="CuadroTexto 17">
              <a:extLst>
                <a:ext uri="{FF2B5EF4-FFF2-40B4-BE49-F238E27FC236}">
                  <a16:creationId xmlns:a16="http://schemas.microsoft.com/office/drawing/2014/main" id="{00000000-0008-0000-0100-000012000000}"/>
                </a:ext>
              </a:extLst>
            </xdr:cNvPr>
            <xdr:cNvSpPr txBox="1"/>
          </xdr:nvSpPr>
          <xdr:spPr>
            <a:xfrm>
              <a:off x="1266825" y="3604250"/>
              <a:ext cx="544315" cy="40908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ctr">
              <a:spAutoFit/>
            </a:bodyPr>
            <a:lstStyle/>
            <a:p>
              <a:pPr/>
              <a14:m>
                <m:oMathPara xmlns:m="http://schemas.openxmlformats.org/officeDocument/2006/math">
                  <m:oMathParaPr>
                    <m:jc m:val="center"/>
                  </m:oMathParaPr>
                  <m:oMath xmlns:m="http://schemas.openxmlformats.org/officeDocument/2006/math">
                    <m:d>
                      <m:dPr>
                        <m:begChr m:val="["/>
                        <m:endChr m:val="]"/>
                        <m:ctrlPr>
                          <a:rPr lang="es-ES" sz="1400" i="1">
                            <a:latin typeface="Cambria Math" panose="02040503050406030204" pitchFamily="18" charset="0"/>
                          </a:rPr>
                        </m:ctrlPr>
                      </m:dPr>
                      <m:e>
                        <m:f>
                          <m:fPr>
                            <m:ctrlPr>
                              <a:rPr lang="es-ES" sz="1400" i="1">
                                <a:solidFill>
                                  <a:schemeClr val="tx1"/>
                                </a:solidFill>
                                <a:effectLst/>
                                <a:latin typeface="Cambria Math" panose="02040503050406030204" pitchFamily="18" charset="0"/>
                                <a:ea typeface="+mn-ea"/>
                                <a:cs typeface="+mn-cs"/>
                              </a:rPr>
                            </m:ctrlPr>
                          </m:fPr>
                          <m:num>
                            <m:r>
                              <a:rPr lang="es-ES" sz="1400" b="0" i="1">
                                <a:solidFill>
                                  <a:schemeClr val="tx1"/>
                                </a:solidFill>
                                <a:effectLst/>
                                <a:latin typeface="Cambria Math" panose="02040503050406030204" pitchFamily="18" charset="0"/>
                                <a:ea typeface="+mn-ea"/>
                                <a:cs typeface="+mn-cs"/>
                              </a:rPr>
                              <m:t>𝑊</m:t>
                            </m:r>
                          </m:num>
                          <m:den>
                            <m:sSup>
                              <m:sSupPr>
                                <m:ctrlPr>
                                  <a:rPr lang="es-ES" sz="1400" b="0" i="1">
                                    <a:solidFill>
                                      <a:schemeClr val="tx1"/>
                                    </a:solidFill>
                                    <a:effectLst/>
                                    <a:latin typeface="Cambria Math" panose="02040503050406030204" pitchFamily="18" charset="0"/>
                                    <a:ea typeface="+mn-ea"/>
                                    <a:cs typeface="+mn-cs"/>
                                  </a:rPr>
                                </m:ctrlPr>
                              </m:sSupPr>
                              <m:e>
                                <m:r>
                                  <a:rPr lang="es-ES" sz="1400" b="0" i="1">
                                    <a:solidFill>
                                      <a:schemeClr val="tx1"/>
                                    </a:solidFill>
                                    <a:effectLst/>
                                    <a:latin typeface="Cambria Math" panose="02040503050406030204" pitchFamily="18" charset="0"/>
                                    <a:ea typeface="+mn-ea"/>
                                    <a:cs typeface="+mn-cs"/>
                                  </a:rPr>
                                  <m:t>𝑚</m:t>
                                </m:r>
                              </m:e>
                              <m:sup>
                                <m:r>
                                  <a:rPr lang="es-ES" sz="1400" b="0" i="1">
                                    <a:solidFill>
                                      <a:schemeClr val="tx1"/>
                                    </a:solidFill>
                                    <a:effectLst/>
                                    <a:latin typeface="Cambria Math" panose="02040503050406030204" pitchFamily="18" charset="0"/>
                                    <a:ea typeface="+mn-ea"/>
                                    <a:cs typeface="+mn-cs"/>
                                  </a:rPr>
                                  <m:t>2</m:t>
                                </m:r>
                              </m:sup>
                            </m:sSup>
                            <m:r>
                              <a:rPr lang="es-ES" sz="1400" b="0" i="1">
                                <a:solidFill>
                                  <a:schemeClr val="tx1"/>
                                </a:solidFill>
                                <a:effectLst/>
                                <a:latin typeface="Cambria Math" panose="02040503050406030204" pitchFamily="18" charset="0"/>
                                <a:ea typeface="+mn-ea"/>
                                <a:cs typeface="+mn-cs"/>
                              </a:rPr>
                              <m:t>𝐾</m:t>
                            </m:r>
                          </m:den>
                        </m:f>
                      </m:e>
                    </m:d>
                  </m:oMath>
                </m:oMathPara>
              </a14:m>
              <a:endParaRPr lang="es-ES" sz="1400"/>
            </a:p>
          </xdr:txBody>
        </xdr:sp>
      </mc:Choice>
      <mc:Fallback xmlns="">
        <xdr:sp macro="" textlink="">
          <xdr:nvSpPr>
            <xdr:cNvPr id="18" name="CuadroTexto 17">
              <a:extLst>
                <a:ext uri="{FF2B5EF4-FFF2-40B4-BE49-F238E27FC236}">
                  <a16:creationId xmlns:a16="http://schemas.microsoft.com/office/drawing/2014/main" id="{164722F9-3683-4F98-A9DF-9A6069C69883}"/>
                </a:ext>
              </a:extLst>
            </xdr:cNvPr>
            <xdr:cNvSpPr txBox="1"/>
          </xdr:nvSpPr>
          <xdr:spPr>
            <a:xfrm>
              <a:off x="1266825" y="3604250"/>
              <a:ext cx="544315" cy="40908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ctr">
              <a:spAutoFit/>
            </a:bodyPr>
            <a:lstStyle/>
            <a:p>
              <a:pPr/>
              <a:r>
                <a:rPr lang="es-ES" sz="1400" i="0">
                  <a:latin typeface="Cambria Math" panose="02040503050406030204" pitchFamily="18" charset="0"/>
                </a:rPr>
                <a:t>[</a:t>
              </a:r>
              <a:r>
                <a:rPr lang="es-ES" sz="1400" b="0" i="0">
                  <a:solidFill>
                    <a:schemeClr val="tx1"/>
                  </a:solidFill>
                  <a:effectLst/>
                  <a:latin typeface="+mn-lt"/>
                  <a:ea typeface="+mn-ea"/>
                  <a:cs typeface="+mn-cs"/>
                </a:rPr>
                <a:t>𝑊/(</a:t>
              </a:r>
              <a:r>
                <a:rPr lang="es-ES" sz="1400" b="0" i="0">
                  <a:solidFill>
                    <a:schemeClr val="tx1"/>
                  </a:solidFill>
                  <a:effectLst/>
                  <a:latin typeface="Cambria Math" panose="02040503050406030204" pitchFamily="18" charset="0"/>
                  <a:ea typeface="+mn-ea"/>
                  <a:cs typeface="+mn-cs"/>
                </a:rPr>
                <a:t>𝑚^2</a:t>
              </a:r>
              <a:r>
                <a:rPr lang="es-ES" sz="1400" b="0" i="0">
                  <a:solidFill>
                    <a:schemeClr val="tx1"/>
                  </a:solidFill>
                  <a:effectLst/>
                  <a:latin typeface="+mn-lt"/>
                  <a:ea typeface="+mn-ea"/>
                  <a:cs typeface="+mn-cs"/>
                </a:rPr>
                <a:t> 𝐾)</a:t>
              </a:r>
              <a:r>
                <a:rPr lang="es-ES" sz="1400" b="0" i="0">
                  <a:solidFill>
                    <a:schemeClr val="tx1"/>
                  </a:solidFill>
                  <a:effectLst/>
                  <a:latin typeface="Cambria Math" panose="02040503050406030204" pitchFamily="18" charset="0"/>
                  <a:ea typeface="+mn-ea"/>
                  <a:cs typeface="+mn-cs"/>
                </a:rPr>
                <a:t>]</a:t>
              </a:r>
              <a:endParaRPr lang="es-ES" sz="1400"/>
            </a:p>
          </xdr:txBody>
        </xdr:sp>
      </mc:Fallback>
    </mc:AlternateContent>
    <xdr:clientData/>
  </xdr:oneCellAnchor>
  <xdr:oneCellAnchor>
    <xdr:from>
      <xdr:col>28</xdr:col>
      <xdr:colOff>0</xdr:colOff>
      <xdr:row>24</xdr:row>
      <xdr:rowOff>70475</xdr:rowOff>
    </xdr:from>
    <xdr:ext cx="457946" cy="409086"/>
    <mc:AlternateContent xmlns:mc="http://schemas.openxmlformats.org/markup-compatibility/2006" xmlns:a14="http://schemas.microsoft.com/office/drawing/2010/main">
      <mc:Choice Requires="a14">
        <xdr:sp macro="" textlink="">
          <xdr:nvSpPr>
            <xdr:cNvPr id="22" name="CuadroTexto 21">
              <a:extLst>
                <a:ext uri="{FF2B5EF4-FFF2-40B4-BE49-F238E27FC236}">
                  <a16:creationId xmlns:a16="http://schemas.microsoft.com/office/drawing/2014/main" id="{00000000-0008-0000-0100-000016000000}"/>
                </a:ext>
              </a:extLst>
            </xdr:cNvPr>
            <xdr:cNvSpPr txBox="1"/>
          </xdr:nvSpPr>
          <xdr:spPr>
            <a:xfrm>
              <a:off x="1266825" y="3604250"/>
              <a:ext cx="457946" cy="40908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ctr">
              <a:spAutoFit/>
            </a:bodyPr>
            <a:lstStyle/>
            <a:p>
              <a:pPr/>
              <a14:m>
                <m:oMathPara xmlns:m="http://schemas.openxmlformats.org/officeDocument/2006/math">
                  <m:oMathParaPr>
                    <m:jc m:val="center"/>
                  </m:oMathParaPr>
                  <m:oMath xmlns:m="http://schemas.openxmlformats.org/officeDocument/2006/math">
                    <m:d>
                      <m:dPr>
                        <m:begChr m:val="["/>
                        <m:endChr m:val="]"/>
                        <m:ctrlPr>
                          <a:rPr lang="es-ES" sz="1400" i="1">
                            <a:latin typeface="Cambria Math" panose="02040503050406030204" pitchFamily="18" charset="0"/>
                          </a:rPr>
                        </m:ctrlPr>
                      </m:dPr>
                      <m:e>
                        <m:f>
                          <m:fPr>
                            <m:ctrlPr>
                              <a:rPr lang="es-ES" sz="1400" i="1">
                                <a:solidFill>
                                  <a:schemeClr val="tx1"/>
                                </a:solidFill>
                                <a:effectLst/>
                                <a:latin typeface="Cambria Math" panose="02040503050406030204" pitchFamily="18" charset="0"/>
                                <a:ea typeface="+mn-ea"/>
                                <a:cs typeface="+mn-cs"/>
                              </a:rPr>
                            </m:ctrlPr>
                          </m:fPr>
                          <m:num>
                            <m:r>
                              <a:rPr lang="es-ES" sz="1400" b="0" i="1">
                                <a:solidFill>
                                  <a:schemeClr val="tx1"/>
                                </a:solidFill>
                                <a:effectLst/>
                                <a:latin typeface="Cambria Math" panose="02040503050406030204" pitchFamily="18" charset="0"/>
                                <a:ea typeface="+mn-ea"/>
                                <a:cs typeface="+mn-cs"/>
                              </a:rPr>
                              <m:t>𝑊</m:t>
                            </m:r>
                          </m:num>
                          <m:den>
                            <m:r>
                              <a:rPr lang="es-ES" sz="1400" i="1">
                                <a:solidFill>
                                  <a:schemeClr val="tx1"/>
                                </a:solidFill>
                                <a:effectLst/>
                                <a:latin typeface="Cambria Math" panose="02040503050406030204" pitchFamily="18" charset="0"/>
                                <a:ea typeface="+mn-ea"/>
                                <a:cs typeface="+mn-cs"/>
                              </a:rPr>
                              <m:t>𝑚</m:t>
                            </m:r>
                            <m:r>
                              <a:rPr lang="es-ES" sz="1400" b="0" i="1">
                                <a:solidFill>
                                  <a:schemeClr val="tx1"/>
                                </a:solidFill>
                                <a:effectLst/>
                                <a:latin typeface="Cambria Math" panose="02040503050406030204" pitchFamily="18" charset="0"/>
                                <a:ea typeface="+mn-ea"/>
                                <a:cs typeface="+mn-cs"/>
                              </a:rPr>
                              <m:t>𝐾</m:t>
                            </m:r>
                          </m:den>
                        </m:f>
                      </m:e>
                    </m:d>
                  </m:oMath>
                </m:oMathPara>
              </a14:m>
              <a:endParaRPr lang="es-ES" sz="1400"/>
            </a:p>
          </xdr:txBody>
        </xdr:sp>
      </mc:Choice>
      <mc:Fallback xmlns="">
        <xdr:sp macro="" textlink="">
          <xdr:nvSpPr>
            <xdr:cNvPr id="22" name="CuadroTexto 21">
              <a:extLst>
                <a:ext uri="{FF2B5EF4-FFF2-40B4-BE49-F238E27FC236}">
                  <a16:creationId xmlns:a16="http://schemas.microsoft.com/office/drawing/2014/main" id="{32953A25-C57D-4E67-B531-C269CFF9E34C}"/>
                </a:ext>
              </a:extLst>
            </xdr:cNvPr>
            <xdr:cNvSpPr txBox="1"/>
          </xdr:nvSpPr>
          <xdr:spPr>
            <a:xfrm>
              <a:off x="1266825" y="3604250"/>
              <a:ext cx="457946" cy="40908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ctr">
              <a:spAutoFit/>
            </a:bodyPr>
            <a:lstStyle/>
            <a:p>
              <a:pPr/>
              <a:r>
                <a:rPr lang="es-ES" sz="1400" i="0">
                  <a:latin typeface="Cambria Math" panose="02040503050406030204" pitchFamily="18" charset="0"/>
                </a:rPr>
                <a:t>[</a:t>
              </a:r>
              <a:r>
                <a:rPr lang="es-ES" sz="1400" b="0" i="0">
                  <a:solidFill>
                    <a:schemeClr val="tx1"/>
                  </a:solidFill>
                  <a:effectLst/>
                  <a:latin typeface="+mn-lt"/>
                  <a:ea typeface="+mn-ea"/>
                  <a:cs typeface="+mn-cs"/>
                </a:rPr>
                <a:t>𝑊/</a:t>
              </a:r>
              <a:r>
                <a:rPr lang="es-ES" sz="1400" i="0">
                  <a:solidFill>
                    <a:schemeClr val="tx1"/>
                  </a:solidFill>
                  <a:effectLst/>
                  <a:latin typeface="Cambria Math" panose="02040503050406030204" pitchFamily="18" charset="0"/>
                  <a:ea typeface="+mn-ea"/>
                  <a:cs typeface="+mn-cs"/>
                </a:rPr>
                <a:t>𝑚</a:t>
              </a:r>
              <a:r>
                <a:rPr lang="es-ES" sz="1400" b="0" i="0">
                  <a:solidFill>
                    <a:schemeClr val="tx1"/>
                  </a:solidFill>
                  <a:effectLst/>
                  <a:latin typeface="+mn-lt"/>
                  <a:ea typeface="+mn-ea"/>
                  <a:cs typeface="+mn-cs"/>
                </a:rPr>
                <a:t>𝐾</a:t>
              </a:r>
              <a:r>
                <a:rPr lang="es-ES" sz="1400" b="0" i="0">
                  <a:solidFill>
                    <a:schemeClr val="tx1"/>
                  </a:solidFill>
                  <a:effectLst/>
                  <a:latin typeface="Cambria Math" panose="02040503050406030204" pitchFamily="18" charset="0"/>
                  <a:ea typeface="+mn-ea"/>
                  <a:cs typeface="+mn-cs"/>
                </a:rPr>
                <a:t>]</a:t>
              </a:r>
              <a:endParaRPr lang="es-ES" sz="1400"/>
            </a:p>
          </xdr:txBody>
        </xdr:sp>
      </mc:Fallback>
    </mc:AlternateContent>
    <xdr:clientData/>
  </xdr:oneCellAnchor>
  <xdr:oneCellAnchor>
    <xdr:from>
      <xdr:col>17</xdr:col>
      <xdr:colOff>0</xdr:colOff>
      <xdr:row>24</xdr:row>
      <xdr:rowOff>70475</xdr:rowOff>
    </xdr:from>
    <xdr:ext cx="544315" cy="409086"/>
    <mc:AlternateContent xmlns:mc="http://schemas.openxmlformats.org/markup-compatibility/2006" xmlns:a14="http://schemas.microsoft.com/office/drawing/2010/main">
      <mc:Choice Requires="a14">
        <xdr:sp macro="" textlink="">
          <xdr:nvSpPr>
            <xdr:cNvPr id="23" name="CuadroTexto 22">
              <a:extLst>
                <a:ext uri="{FF2B5EF4-FFF2-40B4-BE49-F238E27FC236}">
                  <a16:creationId xmlns:a16="http://schemas.microsoft.com/office/drawing/2014/main" id="{00000000-0008-0000-0100-000017000000}"/>
                </a:ext>
              </a:extLst>
            </xdr:cNvPr>
            <xdr:cNvSpPr txBox="1"/>
          </xdr:nvSpPr>
          <xdr:spPr>
            <a:xfrm>
              <a:off x="1266825" y="3604250"/>
              <a:ext cx="544315" cy="40908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ctr">
              <a:spAutoFit/>
            </a:bodyPr>
            <a:lstStyle/>
            <a:p>
              <a:pPr/>
              <a14:m>
                <m:oMathPara xmlns:m="http://schemas.openxmlformats.org/officeDocument/2006/math">
                  <m:oMathParaPr>
                    <m:jc m:val="center"/>
                  </m:oMathParaPr>
                  <m:oMath xmlns:m="http://schemas.openxmlformats.org/officeDocument/2006/math">
                    <m:d>
                      <m:dPr>
                        <m:begChr m:val="["/>
                        <m:endChr m:val="]"/>
                        <m:ctrlPr>
                          <a:rPr lang="es-ES" sz="1400" i="1">
                            <a:latin typeface="Cambria Math" panose="02040503050406030204" pitchFamily="18" charset="0"/>
                          </a:rPr>
                        </m:ctrlPr>
                      </m:dPr>
                      <m:e>
                        <m:f>
                          <m:fPr>
                            <m:ctrlPr>
                              <a:rPr lang="es-ES" sz="1400" i="1">
                                <a:solidFill>
                                  <a:schemeClr val="tx1"/>
                                </a:solidFill>
                                <a:effectLst/>
                                <a:latin typeface="Cambria Math" panose="02040503050406030204" pitchFamily="18" charset="0"/>
                                <a:ea typeface="+mn-ea"/>
                                <a:cs typeface="+mn-cs"/>
                              </a:rPr>
                            </m:ctrlPr>
                          </m:fPr>
                          <m:num>
                            <m:r>
                              <a:rPr lang="es-ES" sz="1400" b="0" i="1">
                                <a:solidFill>
                                  <a:schemeClr val="tx1"/>
                                </a:solidFill>
                                <a:effectLst/>
                                <a:latin typeface="Cambria Math" panose="02040503050406030204" pitchFamily="18" charset="0"/>
                                <a:ea typeface="+mn-ea"/>
                                <a:cs typeface="+mn-cs"/>
                              </a:rPr>
                              <m:t>𝑊</m:t>
                            </m:r>
                          </m:num>
                          <m:den>
                            <m:sSup>
                              <m:sSupPr>
                                <m:ctrlPr>
                                  <a:rPr lang="es-ES" sz="1400" b="0" i="1">
                                    <a:solidFill>
                                      <a:schemeClr val="tx1"/>
                                    </a:solidFill>
                                    <a:effectLst/>
                                    <a:latin typeface="Cambria Math" panose="02040503050406030204" pitchFamily="18" charset="0"/>
                                    <a:ea typeface="+mn-ea"/>
                                    <a:cs typeface="+mn-cs"/>
                                  </a:rPr>
                                </m:ctrlPr>
                              </m:sSupPr>
                              <m:e>
                                <m:r>
                                  <a:rPr lang="es-ES" sz="1400" b="0" i="1">
                                    <a:solidFill>
                                      <a:schemeClr val="tx1"/>
                                    </a:solidFill>
                                    <a:effectLst/>
                                    <a:latin typeface="Cambria Math" panose="02040503050406030204" pitchFamily="18" charset="0"/>
                                    <a:ea typeface="+mn-ea"/>
                                    <a:cs typeface="+mn-cs"/>
                                  </a:rPr>
                                  <m:t>𝑚</m:t>
                                </m:r>
                              </m:e>
                              <m:sup>
                                <m:r>
                                  <a:rPr lang="es-ES" sz="1400" b="0" i="1">
                                    <a:solidFill>
                                      <a:schemeClr val="tx1"/>
                                    </a:solidFill>
                                    <a:effectLst/>
                                    <a:latin typeface="Cambria Math" panose="02040503050406030204" pitchFamily="18" charset="0"/>
                                    <a:ea typeface="+mn-ea"/>
                                    <a:cs typeface="+mn-cs"/>
                                  </a:rPr>
                                  <m:t>2</m:t>
                                </m:r>
                              </m:sup>
                            </m:sSup>
                            <m:r>
                              <a:rPr lang="es-ES" sz="1400" b="0" i="1">
                                <a:solidFill>
                                  <a:schemeClr val="tx1"/>
                                </a:solidFill>
                                <a:effectLst/>
                                <a:latin typeface="Cambria Math" panose="02040503050406030204" pitchFamily="18" charset="0"/>
                                <a:ea typeface="+mn-ea"/>
                                <a:cs typeface="+mn-cs"/>
                              </a:rPr>
                              <m:t>𝐾</m:t>
                            </m:r>
                          </m:den>
                        </m:f>
                      </m:e>
                    </m:d>
                  </m:oMath>
                </m:oMathPara>
              </a14:m>
              <a:endParaRPr lang="es-ES" sz="1400"/>
            </a:p>
          </xdr:txBody>
        </xdr:sp>
      </mc:Choice>
      <mc:Fallback xmlns="">
        <xdr:sp macro="" textlink="">
          <xdr:nvSpPr>
            <xdr:cNvPr id="23" name="CuadroTexto 22">
              <a:extLst>
                <a:ext uri="{FF2B5EF4-FFF2-40B4-BE49-F238E27FC236}">
                  <a16:creationId xmlns:a16="http://schemas.microsoft.com/office/drawing/2014/main" id="{D716E490-4B6B-4523-BE10-D6200FCFBD3A}"/>
                </a:ext>
              </a:extLst>
            </xdr:cNvPr>
            <xdr:cNvSpPr txBox="1"/>
          </xdr:nvSpPr>
          <xdr:spPr>
            <a:xfrm>
              <a:off x="1266825" y="3604250"/>
              <a:ext cx="544315" cy="40908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ctr">
              <a:spAutoFit/>
            </a:bodyPr>
            <a:lstStyle/>
            <a:p>
              <a:pPr/>
              <a:r>
                <a:rPr lang="es-ES" sz="1400" i="0">
                  <a:latin typeface="Cambria Math" panose="02040503050406030204" pitchFamily="18" charset="0"/>
                </a:rPr>
                <a:t>[</a:t>
              </a:r>
              <a:r>
                <a:rPr lang="es-ES" sz="1400" b="0" i="0">
                  <a:solidFill>
                    <a:schemeClr val="tx1"/>
                  </a:solidFill>
                  <a:effectLst/>
                  <a:latin typeface="+mn-lt"/>
                  <a:ea typeface="+mn-ea"/>
                  <a:cs typeface="+mn-cs"/>
                </a:rPr>
                <a:t>𝑊/(</a:t>
              </a:r>
              <a:r>
                <a:rPr lang="es-ES" sz="1400" b="0" i="0">
                  <a:solidFill>
                    <a:schemeClr val="tx1"/>
                  </a:solidFill>
                  <a:effectLst/>
                  <a:latin typeface="Cambria Math" panose="02040503050406030204" pitchFamily="18" charset="0"/>
                  <a:ea typeface="+mn-ea"/>
                  <a:cs typeface="+mn-cs"/>
                </a:rPr>
                <a:t>𝑚^2</a:t>
              </a:r>
              <a:r>
                <a:rPr lang="es-ES" sz="1400" b="0" i="0">
                  <a:solidFill>
                    <a:schemeClr val="tx1"/>
                  </a:solidFill>
                  <a:effectLst/>
                  <a:latin typeface="+mn-lt"/>
                  <a:ea typeface="+mn-ea"/>
                  <a:cs typeface="+mn-cs"/>
                </a:rPr>
                <a:t> 𝐾)</a:t>
              </a:r>
              <a:r>
                <a:rPr lang="es-ES" sz="1400" b="0" i="0">
                  <a:solidFill>
                    <a:schemeClr val="tx1"/>
                  </a:solidFill>
                  <a:effectLst/>
                  <a:latin typeface="Cambria Math" panose="02040503050406030204" pitchFamily="18" charset="0"/>
                  <a:ea typeface="+mn-ea"/>
                  <a:cs typeface="+mn-cs"/>
                </a:rPr>
                <a:t>]</a:t>
              </a:r>
              <a:endParaRPr lang="es-ES" sz="1400"/>
            </a:p>
          </xdr:txBody>
        </xdr:sp>
      </mc:Fallback>
    </mc:AlternateContent>
    <xdr:clientData/>
  </xdr:oneCellAnchor>
  <xdr:oneCellAnchor>
    <xdr:from>
      <xdr:col>18</xdr:col>
      <xdr:colOff>0</xdr:colOff>
      <xdr:row>30</xdr:row>
      <xdr:rowOff>122771</xdr:rowOff>
    </xdr:from>
    <xdr:ext cx="544315" cy="494995"/>
    <mc:AlternateContent xmlns:mc="http://schemas.openxmlformats.org/markup-compatibility/2006" xmlns:a14="http://schemas.microsoft.com/office/drawing/2010/main">
      <mc:Choice Requires="a14">
        <xdr:sp macro="" textlink="">
          <xdr:nvSpPr>
            <xdr:cNvPr id="24" name="CuadroTexto 23">
              <a:extLst>
                <a:ext uri="{FF2B5EF4-FFF2-40B4-BE49-F238E27FC236}">
                  <a16:creationId xmlns:a16="http://schemas.microsoft.com/office/drawing/2014/main" id="{00000000-0008-0000-0100-000018000000}"/>
                </a:ext>
              </a:extLst>
            </xdr:cNvPr>
            <xdr:cNvSpPr txBox="1"/>
          </xdr:nvSpPr>
          <xdr:spPr>
            <a:xfrm>
              <a:off x="3076575" y="5085296"/>
              <a:ext cx="544315" cy="49499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ctr">
              <a:spAutoFit/>
            </a:bodyPr>
            <a:lstStyle/>
            <a:p>
              <a:pPr/>
              <a14:m>
                <m:oMathPara xmlns:m="http://schemas.openxmlformats.org/officeDocument/2006/math">
                  <m:oMathParaPr>
                    <m:jc m:val="center"/>
                  </m:oMathParaPr>
                  <m:oMath xmlns:m="http://schemas.openxmlformats.org/officeDocument/2006/math">
                    <m:d>
                      <m:dPr>
                        <m:begChr m:val="["/>
                        <m:endChr m:val="]"/>
                        <m:ctrlPr>
                          <a:rPr lang="es-ES" sz="1400" i="1">
                            <a:latin typeface="Cambria Math" panose="02040503050406030204" pitchFamily="18" charset="0"/>
                          </a:rPr>
                        </m:ctrlPr>
                      </m:dPr>
                      <m:e>
                        <m:f>
                          <m:fPr>
                            <m:ctrlPr>
                              <a:rPr lang="es-ES" sz="1400" i="1">
                                <a:solidFill>
                                  <a:schemeClr val="tx1"/>
                                </a:solidFill>
                                <a:effectLst/>
                                <a:latin typeface="Cambria Math" panose="02040503050406030204" pitchFamily="18" charset="0"/>
                                <a:ea typeface="+mn-ea"/>
                                <a:cs typeface="+mn-cs"/>
                              </a:rPr>
                            </m:ctrlPr>
                          </m:fPr>
                          <m:num>
                            <m:r>
                              <a:rPr lang="es-ES" sz="1400" b="0" i="1">
                                <a:solidFill>
                                  <a:schemeClr val="tx1"/>
                                </a:solidFill>
                                <a:effectLst/>
                                <a:latin typeface="Cambria Math" panose="02040503050406030204" pitchFamily="18" charset="0"/>
                                <a:ea typeface="+mn-ea"/>
                                <a:cs typeface="+mn-cs"/>
                              </a:rPr>
                              <m:t>𝑊</m:t>
                            </m:r>
                          </m:num>
                          <m:den>
                            <m:sSup>
                              <m:sSupPr>
                                <m:ctrlPr>
                                  <a:rPr lang="es-ES" sz="1400" b="0" i="1">
                                    <a:solidFill>
                                      <a:schemeClr val="tx1"/>
                                    </a:solidFill>
                                    <a:effectLst/>
                                    <a:latin typeface="Cambria Math" panose="02040503050406030204" pitchFamily="18" charset="0"/>
                                    <a:ea typeface="+mn-ea"/>
                                    <a:cs typeface="+mn-cs"/>
                                  </a:rPr>
                                </m:ctrlPr>
                              </m:sSupPr>
                              <m:e>
                                <m:r>
                                  <a:rPr lang="es-ES" sz="1400" b="0" i="1">
                                    <a:solidFill>
                                      <a:schemeClr val="tx1"/>
                                    </a:solidFill>
                                    <a:effectLst/>
                                    <a:latin typeface="Cambria Math" panose="02040503050406030204" pitchFamily="18" charset="0"/>
                                    <a:ea typeface="+mn-ea"/>
                                    <a:cs typeface="+mn-cs"/>
                                  </a:rPr>
                                  <m:t>𝑚</m:t>
                                </m:r>
                              </m:e>
                              <m:sup>
                                <m:r>
                                  <a:rPr lang="es-ES" sz="1400" b="0" i="1">
                                    <a:solidFill>
                                      <a:schemeClr val="tx1"/>
                                    </a:solidFill>
                                    <a:effectLst/>
                                    <a:latin typeface="Cambria Math" panose="02040503050406030204" pitchFamily="18" charset="0"/>
                                    <a:ea typeface="+mn-ea"/>
                                    <a:cs typeface="+mn-cs"/>
                                  </a:rPr>
                                  <m:t>2</m:t>
                                </m:r>
                              </m:sup>
                            </m:sSup>
                            <m:r>
                              <a:rPr lang="es-ES" sz="1400" b="0" i="1">
                                <a:solidFill>
                                  <a:schemeClr val="tx1"/>
                                </a:solidFill>
                                <a:effectLst/>
                                <a:latin typeface="Cambria Math" panose="02040503050406030204" pitchFamily="18" charset="0"/>
                                <a:ea typeface="+mn-ea"/>
                                <a:cs typeface="+mn-cs"/>
                              </a:rPr>
                              <m:t>𝐾</m:t>
                            </m:r>
                          </m:den>
                        </m:f>
                      </m:e>
                    </m:d>
                  </m:oMath>
                </m:oMathPara>
              </a14:m>
              <a:endParaRPr lang="es-ES" sz="1400"/>
            </a:p>
          </xdr:txBody>
        </xdr:sp>
      </mc:Choice>
      <mc:Fallback xmlns="">
        <xdr:sp macro="" textlink="">
          <xdr:nvSpPr>
            <xdr:cNvPr id="24" name="CuadroTexto 23">
              <a:extLst>
                <a:ext uri="{FF2B5EF4-FFF2-40B4-BE49-F238E27FC236}">
                  <a16:creationId xmlns:a16="http://schemas.microsoft.com/office/drawing/2014/main" id="{00000000-0008-0000-0100-000018000000}"/>
                </a:ext>
              </a:extLst>
            </xdr:cNvPr>
            <xdr:cNvSpPr txBox="1"/>
          </xdr:nvSpPr>
          <xdr:spPr>
            <a:xfrm>
              <a:off x="3076575" y="5085296"/>
              <a:ext cx="544315" cy="49499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ctr">
              <a:spAutoFit/>
            </a:bodyPr>
            <a:lstStyle/>
            <a:p>
              <a:pPr/>
              <a:r>
                <a:rPr lang="es-ES" sz="1400" i="0">
                  <a:latin typeface="Cambria Math" panose="02040503050406030204" pitchFamily="18" charset="0"/>
                </a:rPr>
                <a:t>[</a:t>
              </a:r>
              <a:r>
                <a:rPr lang="es-ES" sz="1400" b="0" i="0">
                  <a:solidFill>
                    <a:schemeClr val="tx1"/>
                  </a:solidFill>
                  <a:effectLst/>
                  <a:latin typeface="Cambria Math" panose="02040503050406030204" pitchFamily="18" charset="0"/>
                  <a:ea typeface="+mn-ea"/>
                  <a:cs typeface="+mn-cs"/>
                </a:rPr>
                <a:t>𝑊/(𝑚^2 𝐾)]</a:t>
              </a:r>
              <a:endParaRPr lang="es-ES" sz="1400"/>
            </a:p>
          </xdr:txBody>
        </xdr:sp>
      </mc:Fallback>
    </mc:AlternateContent>
    <xdr:clientData/>
  </xdr:oneCellAnchor>
  <xdr:twoCellAnchor>
    <xdr:from>
      <xdr:col>10</xdr:col>
      <xdr:colOff>114300</xdr:colOff>
      <xdr:row>22</xdr:row>
      <xdr:rowOff>9525</xdr:rowOff>
    </xdr:from>
    <xdr:to>
      <xdr:col>10</xdr:col>
      <xdr:colOff>114300</xdr:colOff>
      <xdr:row>28</xdr:row>
      <xdr:rowOff>0</xdr:rowOff>
    </xdr:to>
    <xdr:cxnSp macro="">
      <xdr:nvCxnSpPr>
        <xdr:cNvPr id="5" name="Conector recto 4">
          <a:extLst>
            <a:ext uri="{FF2B5EF4-FFF2-40B4-BE49-F238E27FC236}">
              <a16:creationId xmlns:a16="http://schemas.microsoft.com/office/drawing/2014/main" id="{00000000-0008-0000-0100-000005000000}"/>
            </a:ext>
          </a:extLst>
        </xdr:cNvPr>
        <xdr:cNvCxnSpPr/>
      </xdr:nvCxnSpPr>
      <xdr:spPr>
        <a:xfrm>
          <a:off x="1743075" y="3924300"/>
          <a:ext cx="0" cy="942975"/>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20</xdr:col>
      <xdr:colOff>123825</xdr:colOff>
      <xdr:row>22</xdr:row>
      <xdr:rowOff>9525</xdr:rowOff>
    </xdr:from>
    <xdr:to>
      <xdr:col>20</xdr:col>
      <xdr:colOff>123825</xdr:colOff>
      <xdr:row>28</xdr:row>
      <xdr:rowOff>0</xdr:rowOff>
    </xdr:to>
    <xdr:cxnSp macro="">
      <xdr:nvCxnSpPr>
        <xdr:cNvPr id="36" name="Conector recto 35">
          <a:extLst>
            <a:ext uri="{FF2B5EF4-FFF2-40B4-BE49-F238E27FC236}">
              <a16:creationId xmlns:a16="http://schemas.microsoft.com/office/drawing/2014/main" id="{00000000-0008-0000-0100-000024000000}"/>
            </a:ext>
          </a:extLst>
        </xdr:cNvPr>
        <xdr:cNvCxnSpPr/>
      </xdr:nvCxnSpPr>
      <xdr:spPr>
        <a:xfrm>
          <a:off x="3562350" y="3924300"/>
          <a:ext cx="0" cy="942975"/>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wsDr>
</file>

<file path=xl/drawings/drawing3.xml><?xml version="1.0" encoding="utf-8"?>
<xdr:wsDr xmlns:xdr="http://schemas.openxmlformats.org/drawingml/2006/spreadsheetDrawing" xmlns:a="http://schemas.openxmlformats.org/drawingml/2006/main">
  <xdr:twoCellAnchor>
    <xdr:from>
      <xdr:col>8</xdr:col>
      <xdr:colOff>742950</xdr:colOff>
      <xdr:row>39</xdr:row>
      <xdr:rowOff>142874</xdr:rowOff>
    </xdr:from>
    <xdr:to>
      <xdr:col>14</xdr:col>
      <xdr:colOff>561975</xdr:colOff>
      <xdr:row>58</xdr:row>
      <xdr:rowOff>57149</xdr:rowOff>
    </xdr:to>
    <xdr:graphicFrame macro="">
      <xdr:nvGraphicFramePr>
        <xdr:cNvPr id="2" name="Gráfico 1">
          <a:extLst>
            <a:ext uri="{FF2B5EF4-FFF2-40B4-BE49-F238E27FC236}">
              <a16:creationId xmlns:a16="http://schemas.microsoft.com/office/drawing/2014/main" id="{00000000-0008-0000-04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76200</xdr:colOff>
      <xdr:row>55</xdr:row>
      <xdr:rowOff>71437</xdr:rowOff>
    </xdr:from>
    <xdr:to>
      <xdr:col>4</xdr:col>
      <xdr:colOff>1266825</xdr:colOff>
      <xdr:row>69</xdr:row>
      <xdr:rowOff>147637</xdr:rowOff>
    </xdr:to>
    <xdr:graphicFrame macro="">
      <xdr:nvGraphicFramePr>
        <xdr:cNvPr id="3" name="Gráfico 2">
          <a:extLst>
            <a:ext uri="{FF2B5EF4-FFF2-40B4-BE49-F238E27FC236}">
              <a16:creationId xmlns:a16="http://schemas.microsoft.com/office/drawing/2014/main" id="{00000000-0008-0000-0400-00000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00000000-000C-0000-FFFF-FFFF00000000}" name="casos_ventana" displayName="casos_ventana" ref="H21:N28" totalsRowShown="0" headerRowDxfId="22" dataDxfId="21" tableBorderDxfId="20">
  <autoFilter ref="H21:N28" xr:uid="{00000000-0009-0000-0100-000006000000}"/>
  <tableColumns count="7">
    <tableColumn id="1" xr3:uid="{00000000-0010-0000-0000-000001000000}" name="caso" dataDxfId="19"/>
    <tableColumn id="2" xr3:uid="{00000000-0010-0000-0000-000002000000}" name="e" dataDxfId="18"/>
    <tableColumn id="3" xr3:uid="{00000000-0010-0000-0000-000003000000}" name="w" dataDxfId="17"/>
    <tableColumn id="4" xr3:uid="{00000000-0010-0000-0000-000004000000}" name="h" dataDxfId="16"/>
    <tableColumn id="5" xr3:uid="{00000000-0010-0000-0000-000005000000}" name="lg calc" dataDxfId="15"/>
    <tableColumn id="6" xr3:uid="{00000000-0010-0000-0000-000006000000}" name="junta apertura" dataDxfId="14"/>
    <tableColumn id="7" xr3:uid="{00000000-0010-0000-0000-000007000000}" name="descripción" dataDxfId="13"/>
  </tableColumns>
  <tableStyleInfo name="TableStyleLight1"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1000000}" name="propiedades_gases_EN673" displayName="propiedades_gases_EN673" ref="B2:H22" totalsRowShown="0">
  <autoFilter ref="B2:H22" xr:uid="{00000000-0009-0000-0100-000001000000}"/>
  <tableColumns count="7">
    <tableColumn id="7" xr3:uid="{00000000-0010-0000-0100-000007000000}" name="llave" dataDxfId="12">
      <calculatedColumnFormula>propiedades_gases_EN673[[#This Row],[gas]]&amp;" "&amp;propiedades_gases_EN673[[#This Row],[temperatura]]</calculatedColumnFormula>
    </tableColumn>
    <tableColumn id="1" xr3:uid="{00000000-0010-0000-0100-000001000000}" name="gas"/>
    <tableColumn id="2" xr3:uid="{00000000-0010-0000-0100-000002000000}" name="temperatura"/>
    <tableColumn id="3" xr3:uid="{00000000-0010-0000-0100-000003000000}" name="densidad" dataDxfId="11"/>
    <tableColumn id="4" xr3:uid="{00000000-0010-0000-0100-000004000000}" name="viscosidad dinámica" dataDxfId="10"/>
    <tableColumn id="5" xr3:uid="{00000000-0010-0000-0100-000005000000}" name="conductividad" dataDxfId="9"/>
    <tableColumn id="6" xr3:uid="{00000000-0010-0000-0100-000006000000}" name="calor específico" dataDxfId="8"/>
  </tableColumns>
  <tableStyleInfo name="TableStyleLight1"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2000000}" name="Resistencia_aire_no_ventilado" displayName="Resistencia_aire_no_ventilado" ref="J18:O23" totalsRowShown="0">
  <autoFilter ref="J18:O23" xr:uid="{00000000-0009-0000-0100-000002000000}"/>
  <tableColumns count="6">
    <tableColumn id="1" xr3:uid="{00000000-0010-0000-0200-000001000000}" name="espesor"/>
    <tableColumn id="2" xr3:uid="{00000000-0010-0000-0200-000002000000}" name="0,1"/>
    <tableColumn id="3" xr3:uid="{00000000-0010-0000-0200-000003000000}" name="0,2"/>
    <tableColumn id="4" xr3:uid="{00000000-0010-0000-0200-000004000000}" name="0,4"/>
    <tableColumn id="5" xr3:uid="{00000000-0010-0000-0200-000005000000}" name="0,8"/>
    <tableColumn id="6" xr3:uid="{00000000-0010-0000-0200-000006000000}" name="sin lámina"/>
  </tableColumns>
  <tableStyleInfo name="TableStyleLight1"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0000000-000C-0000-FFFF-FFFF03000000}" name="PSIg_por_defecto" displayName="PSIg_por_defecto" ref="B36:D40" totalsRowShown="0">
  <autoFilter ref="B36:D40" xr:uid="{00000000-0009-0000-0100-000003000000}"/>
  <sortState xmlns:xlrd2="http://schemas.microsoft.com/office/spreadsheetml/2017/richdata2" ref="B37:D40">
    <sortCondition ref="B36:B40"/>
  </sortState>
  <tableColumns count="3">
    <tableColumn id="1" xr3:uid="{00000000-0010-0000-0300-000001000000}" name="tipo marco"/>
    <tableColumn id="2" xr3:uid="{00000000-0010-0000-0300-000002000000}" name="vidrio sin cubierta"/>
    <tableColumn id="3" xr3:uid="{00000000-0010-0000-0300-000003000000}" name="vidrio baja emisividad"/>
  </tableColumns>
  <tableStyleInfo name="TableStyleLight1"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00000000-000C-0000-FFFF-FFFF04000000}" name="PSIg_mejorado" displayName="PSIg_mejorado" ref="B42:D46" totalsRowShown="0">
  <autoFilter ref="B42:D46" xr:uid="{00000000-0009-0000-0100-000004000000}"/>
  <sortState xmlns:xlrd2="http://schemas.microsoft.com/office/spreadsheetml/2017/richdata2" ref="B43:D46">
    <sortCondition ref="B42:B46"/>
  </sortState>
  <tableColumns count="3">
    <tableColumn id="1" xr3:uid="{00000000-0010-0000-0400-000001000000}" name="tipo marco"/>
    <tableColumn id="2" xr3:uid="{00000000-0010-0000-0400-000002000000}" name="vidrio sin cubierta"/>
    <tableColumn id="3" xr3:uid="{00000000-0010-0000-0400-000003000000}" name="vidrio baja emisividad"/>
  </tableColumns>
  <tableStyleInfo name="TableStyleLight1"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00000000-000C-0000-FFFF-FFFF05000000}" name="Uf_plástico" displayName="Uf_plástico" ref="J25:K28" totalsRowShown="0">
  <autoFilter ref="J25:K28" xr:uid="{00000000-0009-0000-0100-000005000000}"/>
  <tableColumns count="2">
    <tableColumn id="1" xr3:uid="{00000000-0010-0000-0500-000001000000}" name="material"/>
    <tableColumn id="2" xr3:uid="{00000000-0010-0000-0500-000002000000}" name="Uf"/>
  </tableColumns>
  <tableStyleInfo name="TableStyleLight1" showFirstColumn="0" showLastColumn="0" showRowStripes="1" showColumnStripes="0"/>
</table>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3.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3" Type="http://schemas.openxmlformats.org/officeDocument/2006/relationships/table" Target="../tables/table2.xml"/><Relationship Id="rId7" Type="http://schemas.openxmlformats.org/officeDocument/2006/relationships/table" Target="../tables/table6.xml"/><Relationship Id="rId2" Type="http://schemas.openxmlformats.org/officeDocument/2006/relationships/drawing" Target="../drawings/drawing3.xml"/><Relationship Id="rId1" Type="http://schemas.openxmlformats.org/officeDocument/2006/relationships/printerSettings" Target="../printerSettings/printerSettings3.bin"/><Relationship Id="rId6" Type="http://schemas.openxmlformats.org/officeDocument/2006/relationships/table" Target="../tables/table5.xml"/><Relationship Id="rId5" Type="http://schemas.openxmlformats.org/officeDocument/2006/relationships/table" Target="../tables/table4.xml"/><Relationship Id="rId4" Type="http://schemas.openxmlformats.org/officeDocument/2006/relationships/table" Target="../tables/table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H69"/>
  <sheetViews>
    <sheetView tabSelected="1" workbookViewId="0"/>
  </sheetViews>
  <sheetFormatPr baseColWidth="10" defaultColWidth="0" defaultRowHeight="15" zeroHeight="1" x14ac:dyDescent="0.25"/>
  <cols>
    <col min="1" max="1" width="1.42578125" style="53" customWidth="1"/>
    <col min="2" max="33" width="2.85546875" style="53" customWidth="1"/>
    <col min="34" max="34" width="1.42578125" style="53" customWidth="1"/>
    <col min="35" max="16384" width="11.42578125" style="53" hidden="1"/>
  </cols>
  <sheetData>
    <row r="1" spans="2:33" ht="23.25" x14ac:dyDescent="0.35">
      <c r="B1" s="104" t="s">
        <v>178</v>
      </c>
      <c r="C1" s="104"/>
      <c r="D1" s="104"/>
      <c r="E1" s="104"/>
      <c r="F1" s="104"/>
      <c r="G1" s="104"/>
      <c r="H1" s="104"/>
      <c r="I1" s="104"/>
      <c r="J1" s="104"/>
      <c r="K1" s="104"/>
      <c r="L1" s="104"/>
      <c r="M1" s="104"/>
      <c r="N1" s="104"/>
      <c r="O1" s="104"/>
      <c r="P1" s="104"/>
      <c r="Q1" s="104"/>
      <c r="R1" s="104"/>
      <c r="S1" s="104"/>
      <c r="T1" s="104"/>
      <c r="U1" s="104"/>
      <c r="V1" s="104"/>
      <c r="W1" s="104"/>
      <c r="X1" s="104"/>
      <c r="Y1" s="104"/>
      <c r="Z1" s="104"/>
      <c r="AA1" s="104"/>
      <c r="AB1" s="104"/>
      <c r="AC1" s="104"/>
      <c r="AD1" s="104"/>
      <c r="AE1" s="104"/>
      <c r="AF1" s="104"/>
      <c r="AG1" s="104"/>
    </row>
    <row r="2" spans="2:33" ht="7.5" customHeight="1" x14ac:dyDescent="0.35">
      <c r="B2" s="67"/>
      <c r="C2" s="67"/>
      <c r="D2" s="67"/>
      <c r="E2" s="67"/>
      <c r="F2" s="67"/>
      <c r="G2" s="67"/>
      <c r="H2" s="67"/>
      <c r="I2" s="67"/>
      <c r="J2" s="67"/>
      <c r="K2" s="67"/>
      <c r="L2" s="67"/>
      <c r="M2" s="67"/>
      <c r="N2" s="67"/>
      <c r="O2" s="67"/>
      <c r="P2" s="67"/>
      <c r="Q2" s="67"/>
      <c r="R2" s="67"/>
      <c r="S2" s="67"/>
      <c r="T2" s="67"/>
      <c r="U2" s="67"/>
      <c r="V2" s="67"/>
      <c r="W2" s="67"/>
      <c r="X2" s="67"/>
      <c r="Y2" s="67"/>
      <c r="Z2" s="67"/>
      <c r="AA2" s="67"/>
      <c r="AB2" s="67"/>
      <c r="AC2" s="67"/>
      <c r="AD2" s="67"/>
      <c r="AE2" s="67"/>
      <c r="AF2" s="67"/>
      <c r="AG2" s="67"/>
    </row>
    <row r="3" spans="2:33" ht="15" customHeight="1" x14ac:dyDescent="0.35">
      <c r="B3" s="57" t="s">
        <v>192</v>
      </c>
      <c r="C3" s="67"/>
      <c r="D3" s="67"/>
      <c r="E3" s="67"/>
      <c r="F3" s="67"/>
      <c r="G3" s="67"/>
      <c r="H3" s="67"/>
      <c r="I3" s="67"/>
      <c r="J3" s="67"/>
      <c r="K3" s="67"/>
      <c r="L3" s="67"/>
      <c r="M3" s="67"/>
      <c r="N3" s="67"/>
      <c r="O3" s="67"/>
      <c r="P3" s="67"/>
      <c r="Q3" s="67"/>
      <c r="R3" s="67"/>
      <c r="S3" s="67"/>
      <c r="T3" s="67"/>
      <c r="U3" s="67"/>
      <c r="V3" s="67"/>
      <c r="W3" s="67"/>
      <c r="X3" s="67"/>
      <c r="Y3" s="67"/>
      <c r="Z3" s="67"/>
      <c r="AA3" s="67"/>
      <c r="AB3" s="67"/>
      <c r="AC3" s="67"/>
      <c r="AD3" s="67"/>
      <c r="AE3" s="67"/>
      <c r="AF3" s="67"/>
      <c r="AG3" s="67"/>
    </row>
    <row r="4" spans="2:33" x14ac:dyDescent="0.25">
      <c r="B4" s="103" t="s">
        <v>251</v>
      </c>
      <c r="C4" s="103"/>
      <c r="D4" s="103"/>
      <c r="E4" s="103"/>
      <c r="F4" s="103"/>
      <c r="G4" s="103"/>
      <c r="H4" s="103"/>
      <c r="I4" s="103"/>
      <c r="J4" s="103"/>
      <c r="K4" s="103"/>
      <c r="L4" s="103"/>
      <c r="M4" s="103"/>
      <c r="N4" s="103"/>
      <c r="O4" s="103"/>
      <c r="P4" s="103"/>
      <c r="Q4" s="103"/>
      <c r="R4" s="103"/>
      <c r="S4" s="103"/>
      <c r="T4" s="103"/>
      <c r="U4" s="103"/>
      <c r="V4" s="103"/>
      <c r="W4" s="103"/>
      <c r="X4" s="103"/>
      <c r="Y4" s="103"/>
      <c r="Z4" s="103"/>
      <c r="AA4" s="103"/>
      <c r="AB4" s="103"/>
      <c r="AC4" s="103"/>
      <c r="AD4" s="103"/>
      <c r="AE4" s="103"/>
      <c r="AF4" s="103"/>
      <c r="AG4" s="103"/>
    </row>
    <row r="5" spans="2:33" x14ac:dyDescent="0.25">
      <c r="B5" s="103"/>
      <c r="C5" s="103"/>
      <c r="D5" s="103"/>
      <c r="E5" s="103"/>
      <c r="F5" s="103"/>
      <c r="G5" s="103"/>
      <c r="H5" s="103"/>
      <c r="I5" s="103"/>
      <c r="J5" s="103"/>
      <c r="K5" s="103"/>
      <c r="L5" s="103"/>
      <c r="M5" s="103"/>
      <c r="N5" s="103"/>
      <c r="O5" s="103"/>
      <c r="P5" s="103"/>
      <c r="Q5" s="103"/>
      <c r="R5" s="103"/>
      <c r="S5" s="103"/>
      <c r="T5" s="103"/>
      <c r="U5" s="103"/>
      <c r="V5" s="103"/>
      <c r="W5" s="103"/>
      <c r="X5" s="103"/>
      <c r="Y5" s="103"/>
      <c r="Z5" s="103"/>
      <c r="AA5" s="103"/>
      <c r="AB5" s="103"/>
      <c r="AC5" s="103"/>
      <c r="AD5" s="103"/>
      <c r="AE5" s="103"/>
      <c r="AF5" s="103"/>
      <c r="AG5" s="103"/>
    </row>
    <row r="6" spans="2:33" x14ac:dyDescent="0.25">
      <c r="B6" s="103"/>
      <c r="C6" s="103"/>
      <c r="D6" s="103"/>
      <c r="E6" s="103"/>
      <c r="F6" s="103"/>
      <c r="G6" s="103"/>
      <c r="H6" s="103"/>
      <c r="I6" s="103"/>
      <c r="J6" s="103"/>
      <c r="K6" s="103"/>
      <c r="L6" s="103"/>
      <c r="M6" s="103"/>
      <c r="N6" s="103"/>
      <c r="O6" s="103"/>
      <c r="P6" s="103"/>
      <c r="Q6" s="103"/>
      <c r="R6" s="103"/>
      <c r="S6" s="103"/>
      <c r="T6" s="103"/>
      <c r="U6" s="103"/>
      <c r="V6" s="103"/>
      <c r="W6" s="103"/>
      <c r="X6" s="103"/>
      <c r="Y6" s="103"/>
      <c r="Z6" s="103"/>
      <c r="AA6" s="103"/>
      <c r="AB6" s="103"/>
      <c r="AC6" s="103"/>
      <c r="AD6" s="103"/>
      <c r="AE6" s="103"/>
      <c r="AF6" s="103"/>
      <c r="AG6" s="103"/>
    </row>
    <row r="7" spans="2:33" x14ac:dyDescent="0.25">
      <c r="B7" s="103"/>
      <c r="C7" s="103"/>
      <c r="D7" s="103"/>
      <c r="E7" s="103"/>
      <c r="F7" s="103"/>
      <c r="G7" s="103"/>
      <c r="H7" s="103"/>
      <c r="I7" s="103"/>
      <c r="J7" s="103"/>
      <c r="K7" s="103"/>
      <c r="L7" s="103"/>
      <c r="M7" s="103"/>
      <c r="N7" s="103"/>
      <c r="O7" s="103"/>
      <c r="P7" s="103"/>
      <c r="Q7" s="103"/>
      <c r="R7" s="103"/>
      <c r="S7" s="103"/>
      <c r="T7" s="103"/>
      <c r="U7" s="103"/>
      <c r="V7" s="103"/>
      <c r="W7" s="103"/>
      <c r="X7" s="103"/>
      <c r="Y7" s="103"/>
      <c r="Z7" s="103"/>
      <c r="AA7" s="103"/>
      <c r="AB7" s="103"/>
      <c r="AC7" s="103"/>
      <c r="AD7" s="103"/>
      <c r="AE7" s="103"/>
      <c r="AF7" s="103"/>
      <c r="AG7" s="103"/>
    </row>
    <row r="8" spans="2:33" ht="7.5" customHeight="1" x14ac:dyDescent="0.25">
      <c r="B8" s="103"/>
      <c r="C8" s="103"/>
      <c r="D8" s="103"/>
      <c r="E8" s="103"/>
      <c r="F8" s="103"/>
      <c r="G8" s="103"/>
      <c r="H8" s="103"/>
      <c r="I8" s="103"/>
      <c r="J8" s="103"/>
      <c r="K8" s="103"/>
      <c r="L8" s="103"/>
      <c r="M8" s="103"/>
      <c r="N8" s="103"/>
      <c r="O8" s="103"/>
      <c r="P8" s="103"/>
      <c r="Q8" s="103"/>
      <c r="R8" s="103"/>
      <c r="S8" s="103"/>
      <c r="T8" s="103"/>
      <c r="U8" s="103"/>
      <c r="V8" s="103"/>
      <c r="W8" s="103"/>
      <c r="X8" s="103"/>
      <c r="Y8" s="103"/>
      <c r="Z8" s="103"/>
      <c r="AA8" s="103"/>
      <c r="AB8" s="103"/>
      <c r="AC8" s="103"/>
      <c r="AD8" s="103"/>
      <c r="AE8" s="103"/>
      <c r="AF8" s="103"/>
      <c r="AG8" s="103"/>
    </row>
    <row r="9" spans="2:33" x14ac:dyDescent="0.25">
      <c r="B9" s="57" t="s">
        <v>144</v>
      </c>
    </row>
    <row r="10" spans="2:33" x14ac:dyDescent="0.25">
      <c r="B10" s="103" t="s">
        <v>202</v>
      </c>
      <c r="C10" s="103"/>
      <c r="D10" s="103"/>
      <c r="E10" s="103"/>
      <c r="F10" s="103"/>
      <c r="G10" s="103"/>
      <c r="H10" s="103"/>
      <c r="I10" s="103"/>
      <c r="J10" s="103"/>
      <c r="K10" s="103"/>
      <c r="L10" s="103"/>
      <c r="M10" s="103"/>
      <c r="N10" s="103"/>
      <c r="O10" s="103"/>
      <c r="P10" s="103"/>
      <c r="Q10" s="103"/>
      <c r="R10" s="103"/>
      <c r="S10" s="103"/>
      <c r="T10" s="103"/>
      <c r="U10" s="103"/>
      <c r="V10" s="103"/>
      <c r="W10" s="103"/>
      <c r="X10" s="103"/>
      <c r="Y10" s="103"/>
      <c r="Z10" s="103"/>
      <c r="AA10" s="103"/>
      <c r="AB10" s="103"/>
      <c r="AC10" s="103"/>
      <c r="AD10" s="103"/>
      <c r="AE10" s="103"/>
      <c r="AF10" s="103"/>
      <c r="AG10" s="103"/>
    </row>
    <row r="11" spans="2:33" x14ac:dyDescent="0.25">
      <c r="B11" s="103"/>
      <c r="C11" s="103"/>
      <c r="D11" s="103"/>
      <c r="E11" s="103"/>
      <c r="F11" s="103"/>
      <c r="G11" s="103"/>
      <c r="H11" s="103"/>
      <c r="I11" s="103"/>
      <c r="J11" s="103"/>
      <c r="K11" s="103"/>
      <c r="L11" s="103"/>
      <c r="M11" s="103"/>
      <c r="N11" s="103"/>
      <c r="O11" s="103"/>
      <c r="P11" s="103"/>
      <c r="Q11" s="103"/>
      <c r="R11" s="103"/>
      <c r="S11" s="103"/>
      <c r="T11" s="103"/>
      <c r="U11" s="103"/>
      <c r="V11" s="103"/>
      <c r="W11" s="103"/>
      <c r="X11" s="103"/>
      <c r="Y11" s="103"/>
      <c r="Z11" s="103"/>
      <c r="AA11" s="103"/>
      <c r="AB11" s="103"/>
      <c r="AC11" s="103"/>
      <c r="AD11" s="103"/>
      <c r="AE11" s="103"/>
      <c r="AF11" s="103"/>
      <c r="AG11" s="103"/>
    </row>
    <row r="12" spans="2:33" x14ac:dyDescent="0.25">
      <c r="B12" s="103"/>
      <c r="C12" s="103"/>
      <c r="D12" s="103"/>
      <c r="E12" s="103"/>
      <c r="F12" s="103"/>
      <c r="G12" s="103"/>
      <c r="H12" s="103"/>
      <c r="I12" s="103"/>
      <c r="J12" s="103"/>
      <c r="K12" s="103"/>
      <c r="L12" s="103"/>
      <c r="M12" s="103"/>
      <c r="N12" s="103"/>
      <c r="O12" s="103"/>
      <c r="P12" s="103"/>
      <c r="Q12" s="103"/>
      <c r="R12" s="103"/>
      <c r="S12" s="103"/>
      <c r="T12" s="103"/>
      <c r="U12" s="103"/>
      <c r="V12" s="103"/>
      <c r="W12" s="103"/>
      <c r="X12" s="103"/>
      <c r="Y12" s="103"/>
      <c r="Z12" s="103"/>
      <c r="AA12" s="103"/>
      <c r="AB12" s="103"/>
      <c r="AC12" s="103"/>
      <c r="AD12" s="103"/>
      <c r="AE12" s="103"/>
      <c r="AF12" s="103"/>
      <c r="AG12" s="103"/>
    </row>
    <row r="13" spans="2:33" x14ac:dyDescent="0.25">
      <c r="B13" s="103"/>
      <c r="C13" s="103"/>
      <c r="D13" s="103"/>
      <c r="E13" s="103"/>
      <c r="F13" s="103"/>
      <c r="G13" s="103"/>
      <c r="H13" s="103"/>
      <c r="I13" s="103"/>
      <c r="J13" s="103"/>
      <c r="K13" s="103"/>
      <c r="L13" s="103"/>
      <c r="M13" s="103"/>
      <c r="N13" s="103"/>
      <c r="O13" s="103"/>
      <c r="P13" s="103"/>
      <c r="Q13" s="103"/>
      <c r="R13" s="103"/>
      <c r="S13" s="103"/>
      <c r="T13" s="103"/>
      <c r="U13" s="103"/>
      <c r="V13" s="103"/>
      <c r="W13" s="103"/>
      <c r="X13" s="103"/>
      <c r="Y13" s="103"/>
      <c r="Z13" s="103"/>
      <c r="AA13" s="103"/>
      <c r="AB13" s="103"/>
      <c r="AC13" s="103"/>
      <c r="AD13" s="103"/>
      <c r="AE13" s="103"/>
      <c r="AF13" s="103"/>
      <c r="AG13" s="103"/>
    </row>
    <row r="14" spans="2:33" x14ac:dyDescent="0.25">
      <c r="B14" s="103"/>
      <c r="C14" s="103"/>
      <c r="D14" s="103"/>
      <c r="E14" s="103"/>
      <c r="F14" s="103"/>
      <c r="G14" s="103"/>
      <c r="H14" s="103"/>
      <c r="I14" s="103"/>
      <c r="J14" s="103"/>
      <c r="K14" s="103"/>
      <c r="L14" s="103"/>
      <c r="M14" s="103"/>
      <c r="N14" s="103"/>
      <c r="O14" s="103"/>
      <c r="P14" s="103"/>
      <c r="Q14" s="103"/>
      <c r="R14" s="103"/>
      <c r="S14" s="103"/>
      <c r="T14" s="103"/>
      <c r="U14" s="103"/>
      <c r="V14" s="103"/>
      <c r="W14" s="103"/>
      <c r="X14" s="103"/>
      <c r="Y14" s="103"/>
      <c r="Z14" s="103"/>
      <c r="AA14" s="103"/>
      <c r="AB14" s="103"/>
      <c r="AC14" s="103"/>
      <c r="AD14" s="103"/>
      <c r="AE14" s="103"/>
      <c r="AF14" s="103"/>
      <c r="AG14" s="103"/>
    </row>
    <row r="15" spans="2:33" x14ac:dyDescent="0.25">
      <c r="B15" s="103"/>
      <c r="C15" s="103"/>
      <c r="D15" s="103"/>
      <c r="E15" s="103"/>
      <c r="F15" s="103"/>
      <c r="G15" s="103"/>
      <c r="H15" s="103"/>
      <c r="I15" s="103"/>
      <c r="J15" s="103"/>
      <c r="K15" s="103"/>
      <c r="L15" s="103"/>
      <c r="M15" s="103"/>
      <c r="N15" s="103"/>
      <c r="O15" s="103"/>
      <c r="P15" s="103"/>
      <c r="Q15" s="103"/>
      <c r="R15" s="103"/>
      <c r="S15" s="103"/>
      <c r="T15" s="103"/>
      <c r="U15" s="103"/>
      <c r="V15" s="103"/>
      <c r="W15" s="103"/>
      <c r="X15" s="103"/>
      <c r="Y15" s="103"/>
      <c r="Z15" s="103"/>
      <c r="AA15" s="103"/>
      <c r="AB15" s="103"/>
      <c r="AC15" s="103"/>
      <c r="AD15" s="103"/>
      <c r="AE15" s="103"/>
      <c r="AF15" s="103"/>
      <c r="AG15" s="103"/>
    </row>
    <row r="16" spans="2:33" x14ac:dyDescent="0.25">
      <c r="B16" s="103"/>
      <c r="C16" s="103"/>
      <c r="D16" s="103"/>
      <c r="E16" s="103"/>
      <c r="F16" s="103"/>
      <c r="G16" s="103"/>
      <c r="H16" s="103"/>
      <c r="I16" s="103"/>
      <c r="J16" s="103"/>
      <c r="K16" s="103"/>
      <c r="L16" s="103"/>
      <c r="M16" s="103"/>
      <c r="N16" s="103"/>
      <c r="O16" s="103"/>
      <c r="P16" s="103"/>
      <c r="Q16" s="103"/>
      <c r="R16" s="103"/>
      <c r="S16" s="103"/>
      <c r="T16" s="103"/>
      <c r="U16" s="103"/>
      <c r="V16" s="103"/>
      <c r="W16" s="103"/>
      <c r="X16" s="103"/>
      <c r="Y16" s="103"/>
      <c r="Z16" s="103"/>
      <c r="AA16" s="103"/>
      <c r="AB16" s="103"/>
      <c r="AC16" s="103"/>
      <c r="AD16" s="103"/>
      <c r="AE16" s="103"/>
      <c r="AF16" s="103"/>
      <c r="AG16" s="103"/>
    </row>
    <row r="17" spans="2:33" x14ac:dyDescent="0.25">
      <c r="B17" s="103"/>
      <c r="C17" s="103"/>
      <c r="D17" s="103"/>
      <c r="E17" s="103"/>
      <c r="F17" s="103"/>
      <c r="G17" s="103"/>
      <c r="H17" s="103"/>
      <c r="I17" s="103"/>
      <c r="J17" s="103"/>
      <c r="K17" s="103"/>
      <c r="L17" s="103"/>
      <c r="M17" s="103"/>
      <c r="N17" s="103"/>
      <c r="O17" s="103"/>
      <c r="P17" s="103"/>
      <c r="Q17" s="103"/>
      <c r="R17" s="103"/>
      <c r="S17" s="103"/>
      <c r="T17" s="103"/>
      <c r="U17" s="103"/>
      <c r="V17" s="103"/>
      <c r="W17" s="103"/>
      <c r="X17" s="103"/>
      <c r="Y17" s="103"/>
      <c r="Z17" s="103"/>
      <c r="AA17" s="103"/>
      <c r="AB17" s="103"/>
      <c r="AC17" s="103"/>
      <c r="AD17" s="103"/>
      <c r="AE17" s="103"/>
      <c r="AF17" s="103"/>
      <c r="AG17" s="103"/>
    </row>
    <row r="18" spans="2:33" ht="7.5" customHeight="1" x14ac:dyDescent="0.25">
      <c r="B18" s="52"/>
      <c r="C18" s="52"/>
      <c r="D18" s="52"/>
      <c r="E18" s="52"/>
      <c r="F18" s="52"/>
      <c r="G18" s="52"/>
      <c r="H18" s="52"/>
      <c r="I18" s="52"/>
      <c r="J18" s="52"/>
      <c r="K18" s="52"/>
      <c r="L18" s="52"/>
      <c r="M18" s="52"/>
      <c r="N18" s="52"/>
      <c r="O18" s="52"/>
      <c r="P18" s="52"/>
      <c r="Q18" s="52"/>
      <c r="R18" s="52"/>
      <c r="S18" s="52"/>
      <c r="T18" s="52"/>
      <c r="U18" s="52"/>
      <c r="V18" s="52"/>
      <c r="W18" s="52"/>
      <c r="X18" s="52"/>
      <c r="Y18" s="52"/>
      <c r="Z18" s="52"/>
      <c r="AA18" s="52"/>
      <c r="AB18" s="52"/>
      <c r="AC18" s="52"/>
      <c r="AD18" s="52"/>
      <c r="AE18" s="52"/>
      <c r="AF18" s="52"/>
      <c r="AG18" s="52"/>
    </row>
    <row r="19" spans="2:33" x14ac:dyDescent="0.25">
      <c r="B19" s="57" t="s">
        <v>145</v>
      </c>
    </row>
    <row r="20" spans="2:33" x14ac:dyDescent="0.25">
      <c r="B20" s="103" t="s">
        <v>249</v>
      </c>
      <c r="C20" s="103"/>
      <c r="D20" s="103"/>
      <c r="E20" s="103"/>
      <c r="F20" s="103"/>
      <c r="G20" s="103"/>
      <c r="H20" s="103"/>
      <c r="I20" s="103"/>
      <c r="J20" s="103"/>
      <c r="K20" s="103"/>
      <c r="L20" s="103"/>
      <c r="M20" s="103"/>
      <c r="N20" s="103"/>
      <c r="O20" s="103"/>
      <c r="P20" s="103"/>
      <c r="Q20" s="103"/>
      <c r="R20" s="103"/>
      <c r="S20" s="103"/>
      <c r="T20" s="103"/>
      <c r="U20" s="103"/>
      <c r="V20" s="103"/>
      <c r="W20" s="103"/>
      <c r="X20" s="103"/>
      <c r="Y20" s="103"/>
      <c r="Z20" s="103"/>
      <c r="AA20" s="103"/>
      <c r="AB20" s="103"/>
      <c r="AC20" s="103"/>
      <c r="AD20" s="103"/>
      <c r="AE20" s="103"/>
      <c r="AF20" s="103"/>
      <c r="AG20" s="103"/>
    </row>
    <row r="21" spans="2:33" x14ac:dyDescent="0.25">
      <c r="B21" s="103"/>
      <c r="C21" s="103"/>
      <c r="D21" s="103"/>
      <c r="E21" s="103"/>
      <c r="F21" s="103"/>
      <c r="G21" s="103"/>
      <c r="H21" s="103"/>
      <c r="I21" s="103"/>
      <c r="J21" s="103"/>
      <c r="K21" s="103"/>
      <c r="L21" s="103"/>
      <c r="M21" s="103"/>
      <c r="N21" s="103"/>
      <c r="O21" s="103"/>
      <c r="P21" s="103"/>
      <c r="Q21" s="103"/>
      <c r="R21" s="103"/>
      <c r="S21" s="103"/>
      <c r="T21" s="103"/>
      <c r="U21" s="103"/>
      <c r="V21" s="103"/>
      <c r="W21" s="103"/>
      <c r="X21" s="103"/>
      <c r="Y21" s="103"/>
      <c r="Z21" s="103"/>
      <c r="AA21" s="103"/>
      <c r="AB21" s="103"/>
      <c r="AC21" s="103"/>
      <c r="AD21" s="103"/>
      <c r="AE21" s="103"/>
      <c r="AF21" s="103"/>
      <c r="AG21" s="103"/>
    </row>
    <row r="22" spans="2:33" x14ac:dyDescent="0.25">
      <c r="B22" s="103"/>
      <c r="C22" s="103"/>
      <c r="D22" s="103"/>
      <c r="E22" s="103"/>
      <c r="F22" s="103"/>
      <c r="G22" s="103"/>
      <c r="H22" s="103"/>
      <c r="I22" s="103"/>
      <c r="J22" s="103"/>
      <c r="K22" s="103"/>
      <c r="L22" s="103"/>
      <c r="M22" s="103"/>
      <c r="N22" s="103"/>
      <c r="O22" s="103"/>
      <c r="P22" s="103"/>
      <c r="Q22" s="103"/>
      <c r="R22" s="103"/>
      <c r="S22" s="103"/>
      <c r="T22" s="103"/>
      <c r="U22" s="103"/>
      <c r="V22" s="103"/>
      <c r="W22" s="103"/>
      <c r="X22" s="103"/>
      <c r="Y22" s="103"/>
      <c r="Z22" s="103"/>
      <c r="AA22" s="103"/>
      <c r="AB22" s="103"/>
      <c r="AC22" s="103"/>
      <c r="AD22" s="103"/>
      <c r="AE22" s="103"/>
      <c r="AF22" s="103"/>
      <c r="AG22" s="103"/>
    </row>
    <row r="23" spans="2:33" x14ac:dyDescent="0.25">
      <c r="B23" s="103"/>
      <c r="C23" s="103"/>
      <c r="D23" s="103"/>
      <c r="E23" s="103"/>
      <c r="F23" s="103"/>
      <c r="G23" s="103"/>
      <c r="H23" s="103"/>
      <c r="I23" s="103"/>
      <c r="J23" s="103"/>
      <c r="K23" s="103"/>
      <c r="L23" s="103"/>
      <c r="M23" s="103"/>
      <c r="N23" s="103"/>
      <c r="O23" s="103"/>
      <c r="P23" s="103"/>
      <c r="Q23" s="103"/>
      <c r="R23" s="103"/>
      <c r="S23" s="103"/>
      <c r="T23" s="103"/>
      <c r="U23" s="103"/>
      <c r="V23" s="103"/>
      <c r="W23" s="103"/>
      <c r="X23" s="103"/>
      <c r="Y23" s="103"/>
      <c r="Z23" s="103"/>
      <c r="AA23" s="103"/>
      <c r="AB23" s="103"/>
      <c r="AC23" s="103"/>
      <c r="AD23" s="103"/>
      <c r="AE23" s="103"/>
      <c r="AF23" s="103"/>
      <c r="AG23" s="103"/>
    </row>
    <row r="24" spans="2:33" x14ac:dyDescent="0.25">
      <c r="B24" s="103"/>
      <c r="C24" s="103"/>
      <c r="D24" s="103"/>
      <c r="E24" s="103"/>
      <c r="F24" s="103"/>
      <c r="G24" s="103"/>
      <c r="H24" s="103"/>
      <c r="I24" s="103"/>
      <c r="J24" s="103"/>
      <c r="K24" s="103"/>
      <c r="L24" s="103"/>
      <c r="M24" s="103"/>
      <c r="N24" s="103"/>
      <c r="O24" s="103"/>
      <c r="P24" s="103"/>
      <c r="Q24" s="103"/>
      <c r="R24" s="103"/>
      <c r="S24" s="103"/>
      <c r="T24" s="103"/>
      <c r="U24" s="103"/>
      <c r="V24" s="103"/>
      <c r="W24" s="103"/>
      <c r="X24" s="103"/>
      <c r="Y24" s="103"/>
      <c r="Z24" s="103"/>
      <c r="AA24" s="103"/>
      <c r="AB24" s="103"/>
      <c r="AC24" s="103"/>
      <c r="AD24" s="103"/>
      <c r="AE24" s="103"/>
      <c r="AF24" s="103"/>
      <c r="AG24" s="103"/>
    </row>
    <row r="25" spans="2:33" x14ac:dyDescent="0.25">
      <c r="B25" s="103"/>
      <c r="C25" s="103"/>
      <c r="D25" s="103"/>
      <c r="E25" s="103"/>
      <c r="F25" s="103"/>
      <c r="G25" s="103"/>
      <c r="H25" s="103"/>
      <c r="I25" s="103"/>
      <c r="J25" s="103"/>
      <c r="K25" s="103"/>
      <c r="L25" s="103"/>
      <c r="M25" s="103"/>
      <c r="N25" s="103"/>
      <c r="O25" s="103"/>
      <c r="P25" s="103"/>
      <c r="Q25" s="103"/>
      <c r="R25" s="103"/>
      <c r="S25" s="103"/>
      <c r="T25" s="103"/>
      <c r="U25" s="103"/>
      <c r="V25" s="103"/>
      <c r="W25" s="103"/>
      <c r="X25" s="103"/>
      <c r="Y25" s="103"/>
      <c r="Z25" s="103"/>
      <c r="AA25" s="103"/>
      <c r="AB25" s="103"/>
      <c r="AC25" s="103"/>
      <c r="AD25" s="103"/>
      <c r="AE25" s="103"/>
      <c r="AF25" s="103"/>
      <c r="AG25" s="103"/>
    </row>
    <row r="26" spans="2:33" x14ac:dyDescent="0.25">
      <c r="B26" s="103"/>
      <c r="C26" s="103"/>
      <c r="D26" s="103"/>
      <c r="E26" s="103"/>
      <c r="F26" s="103"/>
      <c r="G26" s="103"/>
      <c r="H26" s="103"/>
      <c r="I26" s="103"/>
      <c r="J26" s="103"/>
      <c r="K26" s="103"/>
      <c r="L26" s="103"/>
      <c r="M26" s="103"/>
      <c r="N26" s="103"/>
      <c r="O26" s="103"/>
      <c r="P26" s="103"/>
      <c r="Q26" s="103"/>
      <c r="R26" s="103"/>
      <c r="S26" s="103"/>
      <c r="T26" s="103"/>
      <c r="U26" s="103"/>
      <c r="V26" s="103"/>
      <c r="W26" s="103"/>
      <c r="X26" s="103"/>
      <c r="Y26" s="103"/>
      <c r="Z26" s="103"/>
      <c r="AA26" s="103"/>
      <c r="AB26" s="103"/>
      <c r="AC26" s="103"/>
      <c r="AD26" s="103"/>
      <c r="AE26" s="103"/>
      <c r="AF26" s="103"/>
      <c r="AG26" s="103"/>
    </row>
    <row r="27" spans="2:33" x14ac:dyDescent="0.25">
      <c r="B27" s="103"/>
      <c r="C27" s="103"/>
      <c r="D27" s="103"/>
      <c r="E27" s="103"/>
      <c r="F27" s="103"/>
      <c r="G27" s="103"/>
      <c r="H27" s="103"/>
      <c r="I27" s="103"/>
      <c r="J27" s="103"/>
      <c r="K27" s="103"/>
      <c r="L27" s="103"/>
      <c r="M27" s="103"/>
      <c r="N27" s="103"/>
      <c r="O27" s="103"/>
      <c r="P27" s="103"/>
      <c r="Q27" s="103"/>
      <c r="R27" s="103"/>
      <c r="S27" s="103"/>
      <c r="T27" s="103"/>
      <c r="U27" s="103"/>
      <c r="V27" s="103"/>
      <c r="W27" s="103"/>
      <c r="X27" s="103"/>
      <c r="Y27" s="103"/>
      <c r="Z27" s="103"/>
      <c r="AA27" s="103"/>
      <c r="AB27" s="103"/>
      <c r="AC27" s="103"/>
      <c r="AD27" s="103"/>
      <c r="AE27" s="103"/>
      <c r="AF27" s="103"/>
      <c r="AG27" s="103"/>
    </row>
    <row r="28" spans="2:33" x14ac:dyDescent="0.25">
      <c r="B28" s="103"/>
      <c r="C28" s="103"/>
      <c r="D28" s="103"/>
      <c r="E28" s="103"/>
      <c r="F28" s="103"/>
      <c r="G28" s="103"/>
      <c r="H28" s="103"/>
      <c r="I28" s="103"/>
      <c r="J28" s="103"/>
      <c r="K28" s="103"/>
      <c r="L28" s="103"/>
      <c r="M28" s="103"/>
      <c r="N28" s="103"/>
      <c r="O28" s="103"/>
      <c r="P28" s="103"/>
      <c r="Q28" s="103"/>
      <c r="R28" s="103"/>
      <c r="S28" s="103"/>
      <c r="T28" s="103"/>
      <c r="U28" s="103"/>
      <c r="V28" s="103"/>
      <c r="W28" s="103"/>
      <c r="X28" s="103"/>
      <c r="Y28" s="103"/>
      <c r="Z28" s="103"/>
      <c r="AA28" s="103"/>
      <c r="AB28" s="103"/>
      <c r="AC28" s="103"/>
      <c r="AD28" s="103"/>
      <c r="AE28" s="103"/>
      <c r="AF28" s="103"/>
      <c r="AG28" s="103"/>
    </row>
    <row r="29" spans="2:33" x14ac:dyDescent="0.25">
      <c r="B29" s="103"/>
      <c r="C29" s="103"/>
      <c r="D29" s="103"/>
      <c r="E29" s="103"/>
      <c r="F29" s="103"/>
      <c r="G29" s="103"/>
      <c r="H29" s="103"/>
      <c r="I29" s="103"/>
      <c r="J29" s="103"/>
      <c r="K29" s="103"/>
      <c r="L29" s="103"/>
      <c r="M29" s="103"/>
      <c r="N29" s="103"/>
      <c r="O29" s="103"/>
      <c r="P29" s="103"/>
      <c r="Q29" s="103"/>
      <c r="R29" s="103"/>
      <c r="S29" s="103"/>
      <c r="T29" s="103"/>
      <c r="U29" s="103"/>
      <c r="V29" s="103"/>
      <c r="W29" s="103"/>
      <c r="X29" s="103"/>
      <c r="Y29" s="103"/>
      <c r="Z29" s="103"/>
      <c r="AA29" s="103"/>
      <c r="AB29" s="103"/>
      <c r="AC29" s="103"/>
      <c r="AD29" s="103"/>
      <c r="AE29" s="103"/>
      <c r="AF29" s="103"/>
      <c r="AG29" s="103"/>
    </row>
    <row r="30" spans="2:33" x14ac:dyDescent="0.25">
      <c r="B30" s="103"/>
      <c r="C30" s="103"/>
      <c r="D30" s="103"/>
      <c r="E30" s="103"/>
      <c r="F30" s="103"/>
      <c r="G30" s="103"/>
      <c r="H30" s="103"/>
      <c r="I30" s="103"/>
      <c r="J30" s="103"/>
      <c r="K30" s="103"/>
      <c r="L30" s="103"/>
      <c r="M30" s="103"/>
      <c r="N30" s="103"/>
      <c r="O30" s="103"/>
      <c r="P30" s="103"/>
      <c r="Q30" s="103"/>
      <c r="R30" s="103"/>
      <c r="S30" s="103"/>
      <c r="T30" s="103"/>
      <c r="U30" s="103"/>
      <c r="V30" s="103"/>
      <c r="W30" s="103"/>
      <c r="X30" s="103"/>
      <c r="Y30" s="103"/>
      <c r="Z30" s="103"/>
      <c r="AA30" s="103"/>
      <c r="AB30" s="103"/>
      <c r="AC30" s="103"/>
      <c r="AD30" s="103"/>
      <c r="AE30" s="103"/>
      <c r="AF30" s="103"/>
      <c r="AG30" s="103"/>
    </row>
    <row r="31" spans="2:33" x14ac:dyDescent="0.25">
      <c r="B31" s="103"/>
      <c r="C31" s="103"/>
      <c r="D31" s="103"/>
      <c r="E31" s="103"/>
      <c r="F31" s="103"/>
      <c r="G31" s="103"/>
      <c r="H31" s="103"/>
      <c r="I31" s="103"/>
      <c r="J31" s="103"/>
      <c r="K31" s="103"/>
      <c r="L31" s="103"/>
      <c r="M31" s="103"/>
      <c r="N31" s="103"/>
      <c r="O31" s="103"/>
      <c r="P31" s="103"/>
      <c r="Q31" s="103"/>
      <c r="R31" s="103"/>
      <c r="S31" s="103"/>
      <c r="T31" s="103"/>
      <c r="U31" s="103"/>
      <c r="V31" s="103"/>
      <c r="W31" s="103"/>
      <c r="X31" s="103"/>
      <c r="Y31" s="103"/>
      <c r="Z31" s="103"/>
      <c r="AA31" s="103"/>
      <c r="AB31" s="103"/>
      <c r="AC31" s="103"/>
      <c r="AD31" s="103"/>
      <c r="AE31" s="103"/>
      <c r="AF31" s="103"/>
      <c r="AG31" s="103"/>
    </row>
    <row r="32" spans="2:33" x14ac:dyDescent="0.25">
      <c r="B32" s="103"/>
      <c r="C32" s="103"/>
      <c r="D32" s="103"/>
      <c r="E32" s="103"/>
      <c r="F32" s="103"/>
      <c r="G32" s="103"/>
      <c r="H32" s="103"/>
      <c r="I32" s="103"/>
      <c r="J32" s="103"/>
      <c r="K32" s="103"/>
      <c r="L32" s="103"/>
      <c r="M32" s="103"/>
      <c r="N32" s="103"/>
      <c r="O32" s="103"/>
      <c r="P32" s="103"/>
      <c r="Q32" s="103"/>
      <c r="R32" s="103"/>
      <c r="S32" s="103"/>
      <c r="T32" s="103"/>
      <c r="U32" s="103"/>
      <c r="V32" s="103"/>
      <c r="W32" s="103"/>
      <c r="X32" s="103"/>
      <c r="Y32" s="103"/>
      <c r="Z32" s="103"/>
      <c r="AA32" s="103"/>
      <c r="AB32" s="103"/>
      <c r="AC32" s="103"/>
      <c r="AD32" s="103"/>
      <c r="AE32" s="103"/>
      <c r="AF32" s="103"/>
      <c r="AG32" s="103"/>
    </row>
    <row r="33" spans="2:33" x14ac:dyDescent="0.25">
      <c r="B33" s="103"/>
      <c r="C33" s="103"/>
      <c r="D33" s="103"/>
      <c r="E33" s="103"/>
      <c r="F33" s="103"/>
      <c r="G33" s="103"/>
      <c r="H33" s="103"/>
      <c r="I33" s="103"/>
      <c r="J33" s="103"/>
      <c r="K33" s="103"/>
      <c r="L33" s="103"/>
      <c r="M33" s="103"/>
      <c r="N33" s="103"/>
      <c r="O33" s="103"/>
      <c r="P33" s="103"/>
      <c r="Q33" s="103"/>
      <c r="R33" s="103"/>
      <c r="S33" s="103"/>
      <c r="T33" s="103"/>
      <c r="U33" s="103"/>
      <c r="V33" s="103"/>
      <c r="W33" s="103"/>
      <c r="X33" s="103"/>
      <c r="Y33" s="103"/>
      <c r="Z33" s="103"/>
      <c r="AA33" s="103"/>
      <c r="AB33" s="103"/>
      <c r="AC33" s="103"/>
      <c r="AD33" s="103"/>
      <c r="AE33" s="103"/>
      <c r="AF33" s="103"/>
      <c r="AG33" s="103"/>
    </row>
    <row r="34" spans="2:33" x14ac:dyDescent="0.25">
      <c r="B34" s="103"/>
      <c r="C34" s="103"/>
      <c r="D34" s="103"/>
      <c r="E34" s="103"/>
      <c r="F34" s="103"/>
      <c r="G34" s="103"/>
      <c r="H34" s="103"/>
      <c r="I34" s="103"/>
      <c r="J34" s="103"/>
      <c r="K34" s="103"/>
      <c r="L34" s="103"/>
      <c r="M34" s="103"/>
      <c r="N34" s="103"/>
      <c r="O34" s="103"/>
      <c r="P34" s="103"/>
      <c r="Q34" s="103"/>
      <c r="R34" s="103"/>
      <c r="S34" s="103"/>
      <c r="T34" s="103"/>
      <c r="U34" s="103"/>
      <c r="V34" s="103"/>
      <c r="W34" s="103"/>
      <c r="X34" s="103"/>
      <c r="Y34" s="103"/>
      <c r="Z34" s="103"/>
      <c r="AA34" s="103"/>
      <c r="AB34" s="103"/>
      <c r="AC34" s="103"/>
      <c r="AD34" s="103"/>
      <c r="AE34" s="103"/>
      <c r="AF34" s="103"/>
      <c r="AG34" s="103"/>
    </row>
    <row r="35" spans="2:33" s="93" customFormat="1" x14ac:dyDescent="0.25">
      <c r="B35" s="103"/>
      <c r="C35" s="103"/>
      <c r="D35" s="103"/>
      <c r="E35" s="103"/>
      <c r="F35" s="103"/>
      <c r="G35" s="103"/>
      <c r="H35" s="103"/>
      <c r="I35" s="103"/>
      <c r="J35" s="103"/>
      <c r="K35" s="103"/>
      <c r="L35" s="103"/>
      <c r="M35" s="103"/>
      <c r="N35" s="103"/>
      <c r="O35" s="103"/>
      <c r="P35" s="103"/>
      <c r="Q35" s="103"/>
      <c r="R35" s="103"/>
      <c r="S35" s="103"/>
      <c r="T35" s="103"/>
      <c r="U35" s="103"/>
      <c r="V35" s="103"/>
      <c r="W35" s="103"/>
      <c r="X35" s="103"/>
      <c r="Y35" s="103"/>
      <c r="Z35" s="103"/>
      <c r="AA35" s="103"/>
      <c r="AB35" s="103"/>
      <c r="AC35" s="103"/>
      <c r="AD35" s="103"/>
      <c r="AE35" s="103"/>
      <c r="AF35" s="103"/>
      <c r="AG35" s="103"/>
    </row>
    <row r="36" spans="2:33" s="93" customFormat="1" x14ac:dyDescent="0.25">
      <c r="B36" s="103"/>
      <c r="C36" s="103"/>
      <c r="D36" s="103"/>
      <c r="E36" s="103"/>
      <c r="F36" s="103"/>
      <c r="G36" s="103"/>
      <c r="H36" s="103"/>
      <c r="I36" s="103"/>
      <c r="J36" s="103"/>
      <c r="K36" s="103"/>
      <c r="L36" s="103"/>
      <c r="M36" s="103"/>
      <c r="N36" s="103"/>
      <c r="O36" s="103"/>
      <c r="P36" s="103"/>
      <c r="Q36" s="103"/>
      <c r="R36" s="103"/>
      <c r="S36" s="103"/>
      <c r="T36" s="103"/>
      <c r="U36" s="103"/>
      <c r="V36" s="103"/>
      <c r="W36" s="103"/>
      <c r="X36" s="103"/>
      <c r="Y36" s="103"/>
      <c r="Z36" s="103"/>
      <c r="AA36" s="103"/>
      <c r="AB36" s="103"/>
      <c r="AC36" s="103"/>
      <c r="AD36" s="103"/>
      <c r="AE36" s="103"/>
      <c r="AF36" s="103"/>
      <c r="AG36" s="103"/>
    </row>
    <row r="37" spans="2:33" s="93" customFormat="1" x14ac:dyDescent="0.25">
      <c r="B37" s="103"/>
      <c r="C37" s="103"/>
      <c r="D37" s="103"/>
      <c r="E37" s="103"/>
      <c r="F37" s="103"/>
      <c r="G37" s="103"/>
      <c r="H37" s="103"/>
      <c r="I37" s="103"/>
      <c r="J37" s="103"/>
      <c r="K37" s="103"/>
      <c r="L37" s="103"/>
      <c r="M37" s="103"/>
      <c r="N37" s="103"/>
      <c r="O37" s="103"/>
      <c r="P37" s="103"/>
      <c r="Q37" s="103"/>
      <c r="R37" s="103"/>
      <c r="S37" s="103"/>
      <c r="T37" s="103"/>
      <c r="U37" s="103"/>
      <c r="V37" s="103"/>
      <c r="W37" s="103"/>
      <c r="X37" s="103"/>
      <c r="Y37" s="103"/>
      <c r="Z37" s="103"/>
      <c r="AA37" s="103"/>
      <c r="AB37" s="103"/>
      <c r="AC37" s="103"/>
      <c r="AD37" s="103"/>
      <c r="AE37" s="103"/>
      <c r="AF37" s="103"/>
      <c r="AG37" s="103"/>
    </row>
    <row r="38" spans="2:33" s="93" customFormat="1" x14ac:dyDescent="0.25">
      <c r="B38" s="103"/>
      <c r="C38" s="103"/>
      <c r="D38" s="103"/>
      <c r="E38" s="103"/>
      <c r="F38" s="103"/>
      <c r="G38" s="103"/>
      <c r="H38" s="103"/>
      <c r="I38" s="103"/>
      <c r="J38" s="103"/>
      <c r="K38" s="103"/>
      <c r="L38" s="103"/>
      <c r="M38" s="103"/>
      <c r="N38" s="103"/>
      <c r="O38" s="103"/>
      <c r="P38" s="103"/>
      <c r="Q38" s="103"/>
      <c r="R38" s="103"/>
      <c r="S38" s="103"/>
      <c r="T38" s="103"/>
      <c r="U38" s="103"/>
      <c r="V38" s="103"/>
      <c r="W38" s="103"/>
      <c r="X38" s="103"/>
      <c r="Y38" s="103"/>
      <c r="Z38" s="103"/>
      <c r="AA38" s="103"/>
      <c r="AB38" s="103"/>
      <c r="AC38" s="103"/>
      <c r="AD38" s="103"/>
      <c r="AE38" s="103"/>
      <c r="AF38" s="103"/>
      <c r="AG38" s="103"/>
    </row>
    <row r="39" spans="2:33" x14ac:dyDescent="0.25">
      <c r="B39" s="103"/>
      <c r="C39" s="103"/>
      <c r="D39" s="103"/>
      <c r="E39" s="103"/>
      <c r="F39" s="103"/>
      <c r="G39" s="103"/>
      <c r="H39" s="103"/>
      <c r="I39" s="103"/>
      <c r="J39" s="103"/>
      <c r="K39" s="103"/>
      <c r="L39" s="103"/>
      <c r="M39" s="103"/>
      <c r="N39" s="103"/>
      <c r="O39" s="103"/>
      <c r="P39" s="103"/>
      <c r="Q39" s="103"/>
      <c r="R39" s="103"/>
      <c r="S39" s="103"/>
      <c r="T39" s="103"/>
      <c r="U39" s="103"/>
      <c r="V39" s="103"/>
      <c r="W39" s="103"/>
      <c r="X39" s="103"/>
      <c r="Y39" s="103"/>
      <c r="Z39" s="103"/>
      <c r="AA39" s="103"/>
      <c r="AB39" s="103"/>
      <c r="AC39" s="103"/>
      <c r="AD39" s="103"/>
      <c r="AE39" s="103"/>
      <c r="AF39" s="103"/>
      <c r="AG39" s="103"/>
    </row>
    <row r="40" spans="2:33" x14ac:dyDescent="0.25">
      <c r="B40" s="103"/>
      <c r="C40" s="103"/>
      <c r="D40" s="103"/>
      <c r="E40" s="103"/>
      <c r="F40" s="103"/>
      <c r="G40" s="103"/>
      <c r="H40" s="103"/>
      <c r="I40" s="103"/>
      <c r="J40" s="103"/>
      <c r="K40" s="103"/>
      <c r="L40" s="103"/>
      <c r="M40" s="103"/>
      <c r="N40" s="103"/>
      <c r="O40" s="103"/>
      <c r="P40" s="103"/>
      <c r="Q40" s="103"/>
      <c r="R40" s="103"/>
      <c r="S40" s="103"/>
      <c r="T40" s="103"/>
      <c r="U40" s="103"/>
      <c r="V40" s="103"/>
      <c r="W40" s="103"/>
      <c r="X40" s="103"/>
      <c r="Y40" s="103"/>
      <c r="Z40" s="103"/>
      <c r="AA40" s="103"/>
      <c r="AB40" s="103"/>
      <c r="AC40" s="103"/>
      <c r="AD40" s="103"/>
      <c r="AE40" s="103"/>
      <c r="AF40" s="103"/>
      <c r="AG40" s="103"/>
    </row>
    <row r="41" spans="2:33" x14ac:dyDescent="0.25">
      <c r="B41" s="103"/>
      <c r="C41" s="103"/>
      <c r="D41" s="103"/>
      <c r="E41" s="103"/>
      <c r="F41" s="103"/>
      <c r="G41" s="103"/>
      <c r="H41" s="103"/>
      <c r="I41" s="103"/>
      <c r="J41" s="103"/>
      <c r="K41" s="103"/>
      <c r="L41" s="103"/>
      <c r="M41" s="103"/>
      <c r="N41" s="103"/>
      <c r="O41" s="103"/>
      <c r="P41" s="103"/>
      <c r="Q41" s="103"/>
      <c r="R41" s="103"/>
      <c r="S41" s="103"/>
      <c r="T41" s="103"/>
      <c r="U41" s="103"/>
      <c r="V41" s="103"/>
      <c r="W41" s="103"/>
      <c r="X41" s="103"/>
      <c r="Y41" s="103"/>
      <c r="Z41" s="103"/>
      <c r="AA41" s="103"/>
      <c r="AB41" s="103"/>
      <c r="AC41" s="103"/>
      <c r="AD41" s="103"/>
      <c r="AE41" s="103"/>
      <c r="AF41" s="103"/>
      <c r="AG41" s="103"/>
    </row>
    <row r="42" spans="2:33" x14ac:dyDescent="0.25">
      <c r="B42" s="103"/>
      <c r="C42" s="103"/>
      <c r="D42" s="103"/>
      <c r="E42" s="103"/>
      <c r="F42" s="103"/>
      <c r="G42" s="103"/>
      <c r="H42" s="103"/>
      <c r="I42" s="103"/>
      <c r="J42" s="103"/>
      <c r="K42" s="103"/>
      <c r="L42" s="103"/>
      <c r="M42" s="103"/>
      <c r="N42" s="103"/>
      <c r="O42" s="103"/>
      <c r="P42" s="103"/>
      <c r="Q42" s="103"/>
      <c r="R42" s="103"/>
      <c r="S42" s="103"/>
      <c r="T42" s="103"/>
      <c r="U42" s="103"/>
      <c r="V42" s="103"/>
      <c r="W42" s="103"/>
      <c r="X42" s="103"/>
      <c r="Y42" s="103"/>
      <c r="Z42" s="103"/>
      <c r="AA42" s="103"/>
      <c r="AB42" s="103"/>
      <c r="AC42" s="103"/>
      <c r="AD42" s="103"/>
      <c r="AE42" s="103"/>
      <c r="AF42" s="103"/>
      <c r="AG42" s="103"/>
    </row>
    <row r="43" spans="2:33" ht="7.5" customHeight="1" x14ac:dyDescent="0.25">
      <c r="B43" s="58"/>
    </row>
    <row r="44" spans="2:33" x14ac:dyDescent="0.25">
      <c r="B44" s="57" t="s">
        <v>133</v>
      </c>
    </row>
    <row r="45" spans="2:33" x14ac:dyDescent="0.25">
      <c r="B45" s="103" t="s">
        <v>179</v>
      </c>
      <c r="C45" s="103"/>
      <c r="D45" s="103"/>
      <c r="E45" s="103"/>
      <c r="F45" s="103"/>
      <c r="G45" s="103"/>
      <c r="H45" s="103"/>
      <c r="I45" s="103"/>
      <c r="J45" s="103"/>
      <c r="K45" s="103"/>
      <c r="L45" s="103"/>
      <c r="M45" s="103"/>
      <c r="N45" s="103"/>
      <c r="O45" s="103"/>
      <c r="P45" s="103"/>
      <c r="Q45" s="103"/>
      <c r="R45" s="103"/>
      <c r="S45" s="103"/>
      <c r="T45" s="103"/>
      <c r="U45" s="103"/>
      <c r="V45" s="103"/>
      <c r="W45" s="103"/>
      <c r="X45" s="103"/>
      <c r="Y45" s="103"/>
      <c r="Z45" s="103"/>
      <c r="AA45" s="103"/>
      <c r="AB45" s="103"/>
      <c r="AC45" s="103"/>
      <c r="AD45" s="103"/>
      <c r="AE45" s="103"/>
      <c r="AF45" s="103"/>
      <c r="AG45" s="103"/>
    </row>
    <row r="46" spans="2:33" x14ac:dyDescent="0.25">
      <c r="B46" s="103"/>
      <c r="C46" s="103"/>
      <c r="D46" s="103"/>
      <c r="E46" s="103"/>
      <c r="F46" s="103"/>
      <c r="G46" s="103"/>
      <c r="H46" s="103"/>
      <c r="I46" s="103"/>
      <c r="J46" s="103"/>
      <c r="K46" s="103"/>
      <c r="L46" s="103"/>
      <c r="M46" s="103"/>
      <c r="N46" s="103"/>
      <c r="O46" s="103"/>
      <c r="P46" s="103"/>
      <c r="Q46" s="103"/>
      <c r="R46" s="103"/>
      <c r="S46" s="103"/>
      <c r="T46" s="103"/>
      <c r="U46" s="103"/>
      <c r="V46" s="103"/>
      <c r="W46" s="103"/>
      <c r="X46" s="103"/>
      <c r="Y46" s="103"/>
      <c r="Z46" s="103"/>
      <c r="AA46" s="103"/>
      <c r="AB46" s="103"/>
      <c r="AC46" s="103"/>
      <c r="AD46" s="103"/>
      <c r="AE46" s="103"/>
      <c r="AF46" s="103"/>
      <c r="AG46" s="103"/>
    </row>
    <row r="47" spans="2:33" x14ac:dyDescent="0.25">
      <c r="B47" s="103"/>
      <c r="C47" s="103"/>
      <c r="D47" s="103"/>
      <c r="E47" s="103"/>
      <c r="F47" s="103"/>
      <c r="G47" s="103"/>
      <c r="H47" s="103"/>
      <c r="I47" s="103"/>
      <c r="J47" s="103"/>
      <c r="K47" s="103"/>
      <c r="L47" s="103"/>
      <c r="M47" s="103"/>
      <c r="N47" s="103"/>
      <c r="O47" s="103"/>
      <c r="P47" s="103"/>
      <c r="Q47" s="103"/>
      <c r="R47" s="103"/>
      <c r="S47" s="103"/>
      <c r="T47" s="103"/>
      <c r="U47" s="103"/>
      <c r="V47" s="103"/>
      <c r="W47" s="103"/>
      <c r="X47" s="103"/>
      <c r="Y47" s="103"/>
      <c r="Z47" s="103"/>
      <c r="AA47" s="103"/>
      <c r="AB47" s="103"/>
      <c r="AC47" s="103"/>
      <c r="AD47" s="103"/>
      <c r="AE47" s="103"/>
      <c r="AF47" s="103"/>
      <c r="AG47" s="103"/>
    </row>
    <row r="48" spans="2:33" ht="7.5" customHeight="1" x14ac:dyDescent="0.25">
      <c r="B48" s="58"/>
    </row>
    <row r="49" spans="2:33" x14ac:dyDescent="0.25">
      <c r="B49" s="57" t="s">
        <v>139</v>
      </c>
    </row>
    <row r="50" spans="2:33" x14ac:dyDescent="0.25">
      <c r="B50" s="103" t="s">
        <v>182</v>
      </c>
      <c r="C50" s="103"/>
      <c r="D50" s="103"/>
      <c r="E50" s="103"/>
      <c r="F50" s="103"/>
      <c r="G50" s="103"/>
      <c r="H50" s="103"/>
      <c r="I50" s="103"/>
      <c r="J50" s="103"/>
      <c r="K50" s="103"/>
      <c r="L50" s="103"/>
      <c r="M50" s="103"/>
      <c r="N50" s="103"/>
      <c r="O50" s="103"/>
      <c r="P50" s="103"/>
      <c r="Q50" s="103"/>
      <c r="R50" s="103"/>
      <c r="S50" s="103"/>
      <c r="T50" s="103"/>
      <c r="U50" s="103"/>
      <c r="V50" s="103"/>
      <c r="W50" s="103"/>
      <c r="X50" s="103"/>
      <c r="Y50" s="103"/>
      <c r="Z50" s="103"/>
      <c r="AA50" s="103"/>
      <c r="AB50" s="103"/>
      <c r="AC50" s="103"/>
      <c r="AD50" s="103"/>
      <c r="AE50" s="103"/>
      <c r="AF50" s="103"/>
      <c r="AG50" s="103"/>
    </row>
    <row r="51" spans="2:33" x14ac:dyDescent="0.25">
      <c r="B51" s="66"/>
      <c r="C51" s="66"/>
      <c r="D51" s="66"/>
      <c r="E51" s="66"/>
      <c r="F51" s="66"/>
      <c r="G51" s="66"/>
      <c r="H51" s="66"/>
      <c r="I51" s="66"/>
      <c r="J51" s="66"/>
      <c r="K51" s="66"/>
      <c r="L51" s="66"/>
      <c r="M51" s="66"/>
      <c r="N51" s="66"/>
      <c r="O51" s="66"/>
      <c r="P51" s="66"/>
      <c r="Q51" s="66"/>
      <c r="R51" s="66"/>
      <c r="S51" s="66"/>
      <c r="T51" s="66"/>
      <c r="U51" s="66"/>
      <c r="V51" s="66"/>
      <c r="W51" s="66"/>
      <c r="X51" s="66"/>
      <c r="Y51" s="66"/>
      <c r="Z51" s="66"/>
      <c r="AA51" s="66"/>
      <c r="AB51" s="66"/>
      <c r="AC51" s="66"/>
      <c r="AD51" s="66"/>
      <c r="AE51" s="66"/>
      <c r="AF51" s="66"/>
      <c r="AG51" s="66"/>
    </row>
    <row r="52" spans="2:33" x14ac:dyDescent="0.25">
      <c r="B52" s="66"/>
      <c r="C52" s="66"/>
      <c r="D52" s="66"/>
      <c r="E52" s="66"/>
      <c r="F52" s="66"/>
      <c r="G52" s="66"/>
      <c r="H52" s="66"/>
      <c r="I52" s="66"/>
      <c r="J52" s="66"/>
      <c r="K52" s="66"/>
      <c r="L52" s="66"/>
      <c r="M52" s="66"/>
      <c r="N52" s="66"/>
      <c r="O52" s="66"/>
      <c r="P52" s="66"/>
      <c r="Q52" s="66"/>
      <c r="R52" s="66"/>
      <c r="S52" s="66"/>
      <c r="T52" s="66"/>
      <c r="U52" s="66"/>
      <c r="V52" s="66"/>
      <c r="W52" s="66"/>
      <c r="X52" s="66"/>
      <c r="Y52" s="66"/>
      <c r="Z52" s="66"/>
      <c r="AA52" s="66"/>
      <c r="AB52" s="66"/>
      <c r="AC52" s="66"/>
      <c r="AD52" s="66"/>
      <c r="AE52" s="66"/>
      <c r="AF52" s="66"/>
      <c r="AG52" s="66"/>
    </row>
    <row r="53" spans="2:33" x14ac:dyDescent="0.25">
      <c r="B53" s="66"/>
      <c r="C53" s="66"/>
      <c r="D53" s="66"/>
      <c r="E53" s="66"/>
      <c r="F53" s="66"/>
      <c r="G53" s="66"/>
      <c r="H53" s="66"/>
      <c r="I53" s="66"/>
      <c r="J53" s="66"/>
      <c r="K53" s="66"/>
      <c r="L53" s="66"/>
      <c r="M53" s="66"/>
      <c r="N53" s="66"/>
      <c r="O53" s="66"/>
      <c r="P53" s="66"/>
      <c r="Q53" s="66"/>
      <c r="R53" s="66"/>
      <c r="S53" s="66"/>
      <c r="T53" s="66"/>
      <c r="U53" s="66"/>
      <c r="V53" s="66"/>
      <c r="W53" s="66"/>
      <c r="X53" s="66"/>
      <c r="Y53" s="66"/>
      <c r="Z53" s="66"/>
      <c r="AA53" s="66"/>
      <c r="AB53" s="66"/>
      <c r="AC53" s="66"/>
      <c r="AD53" s="66"/>
      <c r="AE53" s="66"/>
      <c r="AF53" s="66"/>
      <c r="AG53" s="66"/>
    </row>
    <row r="54" spans="2:33" x14ac:dyDescent="0.25">
      <c r="B54" s="53" t="s">
        <v>183</v>
      </c>
    </row>
    <row r="55" spans="2:33" x14ac:dyDescent="0.25">
      <c r="B55" s="58"/>
      <c r="C55" s="53" t="s">
        <v>184</v>
      </c>
      <c r="D55" s="105" t="s">
        <v>185</v>
      </c>
      <c r="E55" s="105"/>
      <c r="F55" s="105"/>
      <c r="G55" s="105"/>
      <c r="H55" s="105"/>
      <c r="I55" s="105"/>
      <c r="J55" s="105"/>
      <c r="K55" s="105"/>
      <c r="L55" s="105"/>
      <c r="M55" s="105"/>
      <c r="N55" s="105"/>
      <c r="O55" s="105"/>
      <c r="P55" s="105"/>
      <c r="Q55" s="105"/>
      <c r="R55" s="105"/>
      <c r="S55" s="105"/>
      <c r="T55" s="105"/>
      <c r="U55" s="105"/>
      <c r="V55" s="105"/>
      <c r="W55" s="105"/>
      <c r="X55" s="105"/>
      <c r="Y55" s="105"/>
      <c r="Z55" s="105"/>
    </row>
    <row r="56" spans="2:33" x14ac:dyDescent="0.25">
      <c r="B56" s="58"/>
      <c r="C56" s="53" t="s">
        <v>184</v>
      </c>
      <c r="D56" s="105" t="s">
        <v>186</v>
      </c>
      <c r="E56" s="105"/>
      <c r="F56" s="105"/>
      <c r="G56" s="105"/>
      <c r="H56" s="105"/>
      <c r="I56" s="105"/>
      <c r="J56" s="105"/>
      <c r="K56" s="105"/>
      <c r="L56" s="105"/>
      <c r="M56" s="105"/>
      <c r="N56" s="105"/>
      <c r="O56" s="105"/>
      <c r="P56" s="105"/>
      <c r="Q56" s="105"/>
      <c r="R56" s="105"/>
      <c r="S56" s="105"/>
      <c r="T56" s="105"/>
      <c r="U56" s="105"/>
      <c r="V56" s="105"/>
      <c r="W56" s="105"/>
      <c r="X56" s="105"/>
      <c r="Y56" s="105"/>
      <c r="Z56" s="105"/>
    </row>
    <row r="57" spans="2:33" x14ac:dyDescent="0.25">
      <c r="B57" s="58"/>
      <c r="C57" s="53" t="s">
        <v>184</v>
      </c>
      <c r="D57" s="105" t="s">
        <v>187</v>
      </c>
      <c r="E57" s="105"/>
      <c r="F57" s="105"/>
      <c r="G57" s="105"/>
      <c r="H57" s="105"/>
      <c r="I57" s="105"/>
      <c r="J57" s="105"/>
      <c r="K57" s="105"/>
      <c r="L57" s="105"/>
      <c r="M57" s="105"/>
      <c r="N57" s="105"/>
      <c r="O57" s="105"/>
      <c r="P57" s="105"/>
      <c r="Q57" s="105"/>
      <c r="R57" s="105"/>
      <c r="S57" s="105"/>
      <c r="T57" s="105"/>
      <c r="U57" s="105"/>
      <c r="V57" s="105"/>
      <c r="W57" s="105"/>
      <c r="X57" s="105"/>
      <c r="Y57" s="105"/>
      <c r="Z57" s="105"/>
    </row>
    <row r="58" spans="2:33" x14ac:dyDescent="0.25">
      <c r="B58" s="58"/>
      <c r="C58" s="53" t="s">
        <v>184</v>
      </c>
      <c r="D58" s="105" t="s">
        <v>188</v>
      </c>
      <c r="E58" s="105"/>
      <c r="F58" s="105"/>
      <c r="G58" s="105"/>
      <c r="H58" s="105"/>
      <c r="I58" s="105"/>
      <c r="J58" s="105"/>
      <c r="K58" s="105"/>
      <c r="L58" s="105"/>
      <c r="M58" s="105"/>
      <c r="N58" s="105"/>
      <c r="O58" s="105"/>
      <c r="P58" s="105"/>
      <c r="Q58" s="105"/>
      <c r="R58" s="105"/>
      <c r="S58" s="105"/>
      <c r="T58" s="105"/>
      <c r="U58" s="105"/>
      <c r="V58" s="105"/>
      <c r="W58" s="105"/>
      <c r="X58" s="105"/>
      <c r="Y58" s="105"/>
      <c r="Z58" s="105"/>
    </row>
    <row r="59" spans="2:33" x14ac:dyDescent="0.25">
      <c r="B59" s="58"/>
      <c r="C59" s="53" t="s">
        <v>184</v>
      </c>
      <c r="D59" s="105" t="s">
        <v>189</v>
      </c>
      <c r="E59" s="105"/>
      <c r="F59" s="105"/>
      <c r="G59" s="105"/>
      <c r="H59" s="105"/>
      <c r="I59" s="105"/>
      <c r="J59" s="105"/>
      <c r="K59" s="105"/>
      <c r="L59" s="105"/>
      <c r="M59" s="105"/>
      <c r="N59" s="105"/>
      <c r="O59" s="105"/>
      <c r="P59" s="105"/>
      <c r="Q59" s="105"/>
      <c r="R59" s="105"/>
      <c r="S59" s="105"/>
      <c r="T59" s="105"/>
      <c r="U59" s="105"/>
      <c r="V59" s="105"/>
      <c r="W59" s="105"/>
      <c r="X59" s="105"/>
      <c r="Y59" s="105"/>
      <c r="Z59" s="105"/>
    </row>
    <row r="60" spans="2:33" x14ac:dyDescent="0.25">
      <c r="B60" s="58"/>
      <c r="C60" s="53" t="s">
        <v>184</v>
      </c>
      <c r="D60" s="105" t="s">
        <v>190</v>
      </c>
      <c r="E60" s="105"/>
      <c r="F60" s="105"/>
      <c r="G60" s="105"/>
      <c r="H60" s="105"/>
      <c r="I60" s="105"/>
      <c r="J60" s="105"/>
      <c r="K60" s="105"/>
      <c r="L60" s="105"/>
      <c r="M60" s="105"/>
      <c r="N60" s="105"/>
      <c r="O60" s="105"/>
      <c r="P60" s="105"/>
      <c r="Q60" s="105"/>
      <c r="R60" s="105"/>
      <c r="S60" s="105"/>
      <c r="T60" s="105"/>
      <c r="U60" s="105"/>
      <c r="V60" s="105"/>
      <c r="W60" s="105"/>
      <c r="X60" s="105"/>
      <c r="Y60" s="105"/>
      <c r="Z60" s="105"/>
      <c r="AA60" s="105"/>
      <c r="AB60" s="105"/>
      <c r="AC60" s="105"/>
      <c r="AD60" s="105"/>
    </row>
    <row r="61" spans="2:33" x14ac:dyDescent="0.25">
      <c r="B61" s="58"/>
      <c r="C61" s="53" t="s">
        <v>184</v>
      </c>
      <c r="D61" s="105" t="s">
        <v>191</v>
      </c>
      <c r="E61" s="105"/>
      <c r="F61" s="105"/>
      <c r="G61" s="105"/>
      <c r="H61" s="105"/>
      <c r="I61" s="105"/>
      <c r="J61" s="105"/>
      <c r="K61" s="105"/>
      <c r="L61" s="105"/>
      <c r="M61" s="105"/>
      <c r="N61" s="105"/>
      <c r="O61" s="105"/>
      <c r="P61" s="105"/>
      <c r="Q61" s="105"/>
      <c r="R61" s="105"/>
      <c r="S61" s="105"/>
      <c r="T61" s="105"/>
      <c r="U61" s="105"/>
      <c r="V61" s="105"/>
      <c r="W61" s="105"/>
      <c r="X61" s="105"/>
      <c r="Y61" s="105"/>
      <c r="Z61" s="105"/>
    </row>
    <row r="62" spans="2:33" x14ac:dyDescent="0.25">
      <c r="B62" s="58"/>
    </row>
    <row r="63" spans="2:33" x14ac:dyDescent="0.25">
      <c r="B63" s="103" t="s">
        <v>250</v>
      </c>
      <c r="C63" s="103"/>
      <c r="D63" s="103"/>
      <c r="E63" s="103"/>
      <c r="F63" s="103"/>
      <c r="G63" s="103"/>
      <c r="H63" s="103"/>
      <c r="I63" s="103"/>
      <c r="J63" s="103"/>
      <c r="K63" s="103"/>
      <c r="L63" s="103"/>
      <c r="M63" s="103"/>
      <c r="N63" s="103"/>
      <c r="O63" s="103"/>
      <c r="P63" s="103"/>
      <c r="Q63" s="103"/>
      <c r="R63" s="103"/>
      <c r="S63" s="103"/>
      <c r="T63" s="103"/>
      <c r="U63" s="103"/>
      <c r="V63" s="103"/>
      <c r="W63" s="103"/>
      <c r="X63" s="103"/>
      <c r="Y63" s="103"/>
      <c r="Z63" s="103"/>
      <c r="AA63" s="103"/>
      <c r="AB63" s="103"/>
      <c r="AC63" s="103"/>
      <c r="AD63" s="103"/>
      <c r="AE63" s="103"/>
      <c r="AF63" s="103"/>
      <c r="AG63" s="103"/>
    </row>
    <row r="64" spans="2:33" x14ac:dyDescent="0.25">
      <c r="B64" s="103"/>
      <c r="C64" s="103"/>
      <c r="D64" s="103"/>
      <c r="E64" s="103"/>
      <c r="F64" s="103"/>
      <c r="G64" s="103"/>
      <c r="H64" s="103"/>
      <c r="I64" s="103"/>
      <c r="J64" s="103"/>
      <c r="K64" s="103"/>
      <c r="L64" s="103"/>
      <c r="M64" s="103"/>
      <c r="N64" s="103"/>
      <c r="O64" s="103"/>
      <c r="P64" s="103"/>
      <c r="Q64" s="103"/>
      <c r="R64" s="103"/>
      <c r="S64" s="103"/>
      <c r="T64" s="103"/>
      <c r="U64" s="103"/>
      <c r="V64" s="103"/>
      <c r="W64" s="103"/>
      <c r="X64" s="103"/>
      <c r="Y64" s="103"/>
      <c r="Z64" s="103"/>
      <c r="AA64" s="103"/>
      <c r="AB64" s="103"/>
      <c r="AC64" s="103"/>
      <c r="AD64" s="103"/>
      <c r="AE64" s="103"/>
      <c r="AF64" s="103"/>
      <c r="AG64" s="103"/>
    </row>
    <row r="65" spans="2:33" s="60" customFormat="1" ht="7.5" customHeight="1" x14ac:dyDescent="0.25">
      <c r="B65" s="59"/>
      <c r="C65" s="59"/>
      <c r="D65" s="59"/>
      <c r="E65" s="59"/>
      <c r="F65" s="59"/>
      <c r="G65" s="59"/>
      <c r="H65" s="59"/>
      <c r="I65" s="59"/>
      <c r="J65" s="59"/>
      <c r="K65" s="59"/>
      <c r="L65" s="59"/>
      <c r="M65" s="59"/>
      <c r="N65" s="59"/>
      <c r="O65" s="59"/>
      <c r="P65" s="59"/>
      <c r="Q65" s="59"/>
      <c r="R65" s="59"/>
      <c r="S65" s="59"/>
      <c r="T65" s="59"/>
      <c r="U65" s="59"/>
      <c r="V65" s="59"/>
      <c r="W65" s="59"/>
      <c r="X65" s="59"/>
      <c r="Y65" s="59"/>
      <c r="Z65" s="59"/>
      <c r="AA65" s="59"/>
      <c r="AB65" s="59"/>
      <c r="AC65" s="59"/>
      <c r="AD65" s="59"/>
      <c r="AE65" s="59"/>
      <c r="AF65" s="59"/>
      <c r="AG65" s="59"/>
    </row>
    <row r="66" spans="2:33" x14ac:dyDescent="0.25">
      <c r="B66" s="103" t="s">
        <v>198</v>
      </c>
      <c r="C66" s="103"/>
      <c r="D66" s="103"/>
      <c r="E66" s="103"/>
      <c r="F66" s="103"/>
      <c r="G66" s="103"/>
      <c r="H66" s="103"/>
      <c r="I66" s="103"/>
      <c r="J66" s="103"/>
      <c r="K66" s="103"/>
      <c r="L66" s="103"/>
      <c r="M66" s="103"/>
      <c r="N66" s="103"/>
      <c r="O66" s="103"/>
      <c r="P66" s="103"/>
      <c r="Q66" s="103"/>
      <c r="R66" s="103"/>
      <c r="S66" s="103"/>
      <c r="T66" s="103"/>
      <c r="U66" s="103"/>
      <c r="V66" s="103"/>
      <c r="W66" s="103"/>
      <c r="X66" s="103"/>
      <c r="Y66" s="103"/>
      <c r="Z66" s="103"/>
      <c r="AA66" s="103"/>
      <c r="AB66" s="103"/>
      <c r="AC66" s="103"/>
      <c r="AD66" s="103"/>
      <c r="AE66" s="103"/>
      <c r="AF66" s="103"/>
      <c r="AG66" s="103"/>
    </row>
    <row r="67" spans="2:33" s="60" customFormat="1" x14ac:dyDescent="0.25">
      <c r="B67" s="103"/>
      <c r="C67" s="103"/>
      <c r="D67" s="103"/>
      <c r="E67" s="103"/>
      <c r="F67" s="103"/>
      <c r="G67" s="103"/>
      <c r="H67" s="103"/>
      <c r="I67" s="103"/>
      <c r="J67" s="103"/>
      <c r="K67" s="103"/>
      <c r="L67" s="103"/>
      <c r="M67" s="103"/>
      <c r="N67" s="103"/>
      <c r="O67" s="103"/>
      <c r="P67" s="103"/>
      <c r="Q67" s="103"/>
      <c r="R67" s="103"/>
      <c r="S67" s="103"/>
      <c r="T67" s="103"/>
      <c r="U67" s="103"/>
      <c r="V67" s="103"/>
      <c r="W67" s="103"/>
      <c r="X67" s="103"/>
      <c r="Y67" s="103"/>
      <c r="Z67" s="103"/>
      <c r="AA67" s="103"/>
      <c r="AB67" s="103"/>
      <c r="AC67" s="103"/>
      <c r="AD67" s="103"/>
      <c r="AE67" s="103"/>
      <c r="AF67" s="103"/>
      <c r="AG67" s="103"/>
    </row>
    <row r="68" spans="2:33" x14ac:dyDescent="0.25">
      <c r="B68" s="103"/>
      <c r="C68" s="103"/>
      <c r="D68" s="103"/>
      <c r="E68" s="103"/>
      <c r="F68" s="103"/>
      <c r="G68" s="103"/>
      <c r="H68" s="103"/>
      <c r="I68" s="103"/>
      <c r="J68" s="103"/>
      <c r="K68" s="103"/>
      <c r="L68" s="103"/>
      <c r="M68" s="103"/>
      <c r="N68" s="103"/>
      <c r="O68" s="103"/>
      <c r="P68" s="103"/>
      <c r="Q68" s="103"/>
      <c r="R68" s="103"/>
      <c r="S68" s="103"/>
      <c r="T68" s="103"/>
      <c r="U68" s="103"/>
      <c r="V68" s="103"/>
      <c r="W68" s="103"/>
      <c r="X68" s="103"/>
      <c r="Y68" s="103"/>
      <c r="Z68" s="103"/>
      <c r="AA68" s="103"/>
      <c r="AB68" s="103"/>
      <c r="AC68" s="103"/>
      <c r="AD68" s="103"/>
      <c r="AE68" s="103"/>
      <c r="AF68" s="103"/>
      <c r="AG68" s="103"/>
    </row>
    <row r="69" spans="2:33" x14ac:dyDescent="0.25"/>
  </sheetData>
  <sheetProtection algorithmName="SHA-512" hashValue="dhQnc1Yfulod1C2EYmmBG0YAFuko+xSUr14QXXuz4Oyola6wpelPowwCtgfGcGKdh54yQNWPBNHqRwCQAgc51g==" saltValue="GkC0ovMBIy6yOEMMxkBjAw==" spinCount="100000" sheet="1" objects="1" scenarios="1"/>
  <mergeCells count="15">
    <mergeCell ref="B66:AG68"/>
    <mergeCell ref="B1:AG1"/>
    <mergeCell ref="B4:AG8"/>
    <mergeCell ref="B10:AG17"/>
    <mergeCell ref="B20:AG42"/>
    <mergeCell ref="B45:AG47"/>
    <mergeCell ref="D60:AD60"/>
    <mergeCell ref="D61:Z61"/>
    <mergeCell ref="B63:AG64"/>
    <mergeCell ref="B50:AG50"/>
    <mergeCell ref="D55:Z55"/>
    <mergeCell ref="D56:Z56"/>
    <mergeCell ref="D57:Z57"/>
    <mergeCell ref="D58:Z58"/>
    <mergeCell ref="D59:Z59"/>
  </mergeCell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Hoja1"/>
  <dimension ref="A1:AH43"/>
  <sheetViews>
    <sheetView zoomScaleNormal="100" workbookViewId="0">
      <selection activeCell="H4" sqref="H4:I4"/>
    </sheetView>
  </sheetViews>
  <sheetFormatPr baseColWidth="10" defaultColWidth="0" defaultRowHeight="15" zeroHeight="1" x14ac:dyDescent="0.25"/>
  <cols>
    <col min="1" max="1" width="1.42578125" style="23" customWidth="1"/>
    <col min="2" max="33" width="2.7109375" style="23" customWidth="1"/>
    <col min="34" max="34" width="1.42578125" style="23" customWidth="1"/>
    <col min="35" max="16384" width="11.42578125" style="23" hidden="1"/>
  </cols>
  <sheetData>
    <row r="1" spans="2:33" ht="23.25" x14ac:dyDescent="0.35">
      <c r="B1" s="104" t="s">
        <v>136</v>
      </c>
      <c r="C1" s="104"/>
      <c r="D1" s="104"/>
      <c r="E1" s="104"/>
      <c r="F1" s="104"/>
      <c r="G1" s="104"/>
      <c r="H1" s="104"/>
      <c r="I1" s="104"/>
      <c r="J1" s="104"/>
      <c r="K1" s="104"/>
      <c r="L1" s="104"/>
      <c r="M1" s="104"/>
      <c r="N1" s="104"/>
      <c r="O1" s="104"/>
      <c r="P1" s="104"/>
      <c r="Q1" s="104"/>
      <c r="R1" s="104"/>
      <c r="S1" s="104"/>
      <c r="T1" s="104"/>
      <c r="U1" s="104"/>
      <c r="V1" s="104"/>
      <c r="W1" s="104"/>
      <c r="X1" s="104"/>
      <c r="Y1" s="104"/>
      <c r="Z1" s="104"/>
      <c r="AA1" s="104"/>
      <c r="AB1" s="104"/>
      <c r="AC1" s="104"/>
      <c r="AD1" s="104"/>
      <c r="AE1" s="104"/>
      <c r="AF1" s="104"/>
      <c r="AG1" s="104"/>
    </row>
    <row r="2" spans="2:33" x14ac:dyDescent="0.25">
      <c r="B2" s="128" t="s">
        <v>144</v>
      </c>
      <c r="C2" s="128"/>
      <c r="D2" s="128"/>
      <c r="E2" s="128"/>
      <c r="F2" s="128"/>
      <c r="G2" s="128"/>
      <c r="H2" s="128"/>
      <c r="I2" s="128"/>
      <c r="J2" s="128"/>
      <c r="K2" s="128"/>
      <c r="L2" s="128"/>
      <c r="M2" s="128"/>
      <c r="N2" s="128"/>
      <c r="O2" s="128"/>
      <c r="P2" s="128"/>
      <c r="Q2" s="128"/>
      <c r="R2" s="128"/>
      <c r="S2" s="128"/>
      <c r="T2" s="128"/>
      <c r="U2" s="128"/>
      <c r="V2" s="128"/>
      <c r="W2" s="128"/>
      <c r="X2" s="128"/>
      <c r="Y2" s="128"/>
      <c r="Z2" s="128"/>
      <c r="AA2" s="128"/>
      <c r="AB2" s="128"/>
      <c r="AC2" s="128"/>
      <c r="AD2" s="128"/>
      <c r="AE2" s="128"/>
      <c r="AF2" s="128"/>
      <c r="AG2" s="128"/>
    </row>
    <row r="3" spans="2:33" ht="7.5" customHeight="1" x14ac:dyDescent="0.25">
      <c r="B3" s="32"/>
      <c r="C3" s="32"/>
      <c r="D3" s="32"/>
      <c r="E3" s="32"/>
      <c r="F3" s="32"/>
      <c r="G3" s="32"/>
      <c r="H3" s="32"/>
      <c r="I3" s="32"/>
      <c r="J3" s="32"/>
      <c r="K3" s="32"/>
      <c r="L3" s="32"/>
      <c r="M3" s="32"/>
      <c r="N3" s="32"/>
      <c r="O3" s="32"/>
      <c r="P3" s="32"/>
      <c r="Q3" s="32"/>
      <c r="R3" s="32"/>
      <c r="S3" s="32"/>
      <c r="T3" s="32"/>
      <c r="U3" s="32"/>
      <c r="V3" s="32"/>
      <c r="W3" s="32"/>
      <c r="X3" s="32"/>
      <c r="Y3" s="32"/>
      <c r="Z3" s="32"/>
      <c r="AA3" s="32"/>
      <c r="AB3" s="32"/>
      <c r="AC3" s="32"/>
      <c r="AD3" s="32"/>
      <c r="AE3" s="32"/>
      <c r="AF3" s="32"/>
      <c r="AG3" s="32"/>
    </row>
    <row r="4" spans="2:33" x14ac:dyDescent="0.25">
      <c r="C4" s="126" t="s">
        <v>152</v>
      </c>
      <c r="D4" s="126"/>
      <c r="E4" s="126"/>
      <c r="F4" s="126"/>
      <c r="G4" s="126"/>
      <c r="H4" s="106"/>
      <c r="I4" s="106"/>
      <c r="J4" s="23" t="s">
        <v>72</v>
      </c>
      <c r="M4" s="22" t="s">
        <v>131</v>
      </c>
    </row>
    <row r="5" spans="2:33" x14ac:dyDescent="0.25">
      <c r="C5" s="126" t="s">
        <v>153</v>
      </c>
      <c r="D5" s="126"/>
      <c r="E5" s="126"/>
      <c r="F5" s="126"/>
      <c r="G5" s="126"/>
      <c r="H5" s="106"/>
      <c r="I5" s="106"/>
      <c r="J5" s="23" t="s">
        <v>72</v>
      </c>
      <c r="O5" s="22" t="s">
        <v>129</v>
      </c>
      <c r="X5" s="22"/>
      <c r="Y5" s="22" t="s">
        <v>130</v>
      </c>
      <c r="AD5" s="27"/>
      <c r="AE5" s="27"/>
    </row>
    <row r="6" spans="2:33" ht="15" customHeight="1" x14ac:dyDescent="0.25">
      <c r="C6" s="125" t="s">
        <v>154</v>
      </c>
      <c r="D6" s="125"/>
      <c r="E6" s="125"/>
      <c r="F6" s="125"/>
      <c r="G6" s="125"/>
      <c r="H6" s="127" t="str">
        <f>Cálculos!Aw</f>
        <v/>
      </c>
      <c r="I6" s="127"/>
      <c r="J6" s="136" t="s">
        <v>155</v>
      </c>
      <c r="K6" s="33"/>
      <c r="N6" s="22" t="s">
        <v>143</v>
      </c>
      <c r="T6" s="140" t="str">
        <f>Cálculos!Af</f>
        <v/>
      </c>
      <c r="U6" s="140"/>
      <c r="V6" s="23" t="s">
        <v>127</v>
      </c>
      <c r="X6" s="22" t="s">
        <v>125</v>
      </c>
      <c r="AD6" s="106"/>
      <c r="AE6" s="106"/>
    </row>
    <row r="7" spans="2:33" x14ac:dyDescent="0.25">
      <c r="C7" s="125"/>
      <c r="D7" s="125"/>
      <c r="E7" s="125"/>
      <c r="F7" s="125"/>
      <c r="G7" s="125"/>
      <c r="H7" s="127"/>
      <c r="I7" s="127"/>
      <c r="J7" s="136"/>
      <c r="K7" s="25"/>
      <c r="N7" s="22" t="s">
        <v>126</v>
      </c>
      <c r="T7" s="106"/>
      <c r="U7" s="106"/>
      <c r="V7" s="23" t="s">
        <v>127</v>
      </c>
    </row>
    <row r="8" spans="2:33" s="81" customFormat="1" x14ac:dyDescent="0.25">
      <c r="C8" s="125" t="s">
        <v>240</v>
      </c>
      <c r="D8" s="125"/>
      <c r="E8" s="125"/>
      <c r="F8" s="125"/>
      <c r="G8" s="125"/>
      <c r="H8" s="124" t="str">
        <f>Cálculos!Junta_apertura</f>
        <v/>
      </c>
      <c r="I8" s="124"/>
      <c r="J8" s="83" t="s">
        <v>30</v>
      </c>
      <c r="K8" s="25"/>
      <c r="N8" s="22"/>
      <c r="T8" s="102"/>
      <c r="U8" s="102"/>
    </row>
    <row r="9" spans="2:33" ht="7.5" customHeight="1" x14ac:dyDescent="0.25"/>
    <row r="10" spans="2:33" x14ac:dyDescent="0.25">
      <c r="B10" s="128" t="s">
        <v>145</v>
      </c>
      <c r="C10" s="128"/>
      <c r="D10" s="128"/>
      <c r="E10" s="128"/>
      <c r="F10" s="128"/>
      <c r="G10" s="128"/>
      <c r="H10" s="128"/>
      <c r="I10" s="128"/>
      <c r="J10" s="128"/>
      <c r="K10" s="128"/>
      <c r="L10" s="128"/>
      <c r="M10" s="128"/>
      <c r="N10" s="128"/>
      <c r="O10" s="128"/>
      <c r="P10" s="128"/>
      <c r="Q10" s="128"/>
      <c r="R10" s="128"/>
      <c r="S10" s="128"/>
      <c r="T10" s="128"/>
      <c r="U10" s="128"/>
      <c r="V10" s="128"/>
      <c r="W10" s="128"/>
      <c r="X10" s="128"/>
      <c r="Y10" s="128"/>
      <c r="Z10" s="128"/>
      <c r="AA10" s="128"/>
      <c r="AB10" s="128"/>
      <c r="AC10" s="128"/>
      <c r="AD10" s="128"/>
      <c r="AE10" s="128"/>
      <c r="AF10" s="128"/>
      <c r="AG10" s="128"/>
    </row>
    <row r="11" spans="2:33" ht="7.5" customHeight="1" x14ac:dyDescent="0.25">
      <c r="B11" s="32"/>
      <c r="C11" s="32"/>
      <c r="D11" s="32"/>
      <c r="E11" s="82"/>
      <c r="F11" s="81"/>
      <c r="K11" s="32"/>
      <c r="L11" s="32"/>
      <c r="M11" s="32"/>
      <c r="N11" s="32"/>
      <c r="O11" s="32"/>
      <c r="P11" s="32"/>
      <c r="Q11" s="32"/>
      <c r="R11" s="32"/>
      <c r="S11" s="32"/>
      <c r="T11" s="32"/>
      <c r="U11" s="32"/>
      <c r="V11" s="32"/>
      <c r="W11" s="32"/>
      <c r="X11" s="32"/>
      <c r="Y11" s="32"/>
      <c r="Z11" s="32"/>
      <c r="AA11" s="32"/>
      <c r="AB11" s="32"/>
      <c r="AC11" s="32"/>
      <c r="AD11" s="32"/>
      <c r="AE11" s="32"/>
      <c r="AF11" s="32"/>
      <c r="AG11" s="32"/>
    </row>
    <row r="12" spans="2:33" x14ac:dyDescent="0.25">
      <c r="C12" s="109" t="s">
        <v>212</v>
      </c>
      <c r="D12" s="109"/>
      <c r="E12" s="109"/>
      <c r="F12" s="109"/>
      <c r="G12" s="109"/>
      <c r="H12" s="80"/>
      <c r="I12" s="151"/>
      <c r="J12" s="109"/>
      <c r="K12" s="150"/>
      <c r="L12" s="150"/>
      <c r="O12" s="22" t="s">
        <v>167</v>
      </c>
      <c r="U12" s="106"/>
      <c r="V12" s="106"/>
      <c r="W12" s="106"/>
      <c r="X12" s="106"/>
      <c r="Y12" s="106"/>
      <c r="AA12" s="138" t="s">
        <v>168</v>
      </c>
      <c r="AB12" s="138"/>
      <c r="AC12" s="134" t="s">
        <v>8</v>
      </c>
      <c r="AD12" s="134"/>
      <c r="AE12" s="134"/>
      <c r="AF12" s="134"/>
    </row>
    <row r="13" spans="2:33" x14ac:dyDescent="0.25">
      <c r="C13" s="143"/>
      <c r="D13" s="143"/>
      <c r="E13" s="143"/>
      <c r="F13" s="143"/>
      <c r="G13" s="143"/>
      <c r="H13" s="143"/>
      <c r="I13" s="143"/>
      <c r="J13" s="143"/>
      <c r="K13" s="143"/>
      <c r="L13" s="143"/>
      <c r="O13" s="132" t="s">
        <v>171</v>
      </c>
      <c r="P13" s="132"/>
      <c r="Q13" s="132"/>
      <c r="R13" s="132"/>
      <c r="S13" s="133"/>
      <c r="T13" s="129" t="s">
        <v>169</v>
      </c>
      <c r="U13" s="130"/>
      <c r="V13" s="130"/>
      <c r="W13" s="131"/>
      <c r="X13" s="129" t="s">
        <v>170</v>
      </c>
      <c r="Y13" s="130"/>
      <c r="Z13" s="130"/>
      <c r="AA13" s="130"/>
      <c r="AB13" s="130"/>
      <c r="AC13" s="130"/>
      <c r="AD13" s="130"/>
      <c r="AE13" s="130"/>
      <c r="AF13" s="131"/>
    </row>
    <row r="14" spans="2:33" x14ac:dyDescent="0.25">
      <c r="C14" s="157" t="s">
        <v>254</v>
      </c>
      <c r="D14" s="157"/>
      <c r="E14" s="157"/>
      <c r="F14" s="157"/>
      <c r="G14" s="157"/>
      <c r="H14" s="108"/>
      <c r="I14" s="108"/>
      <c r="J14" s="108"/>
      <c r="K14" s="108"/>
      <c r="L14" s="108"/>
      <c r="O14" s="141" t="str">
        <f>txt_Vidrio</f>
        <v>Vidrio</v>
      </c>
      <c r="P14" s="141"/>
      <c r="Q14" s="141"/>
      <c r="R14" s="141"/>
      <c r="S14" s="141"/>
      <c r="T14" s="152"/>
      <c r="U14" s="153"/>
      <c r="V14" s="40" t="s">
        <v>72</v>
      </c>
      <c r="W14" s="26"/>
      <c r="X14" s="118"/>
      <c r="Y14" s="119"/>
      <c r="Z14" s="119"/>
      <c r="AA14" s="119"/>
      <c r="AB14" s="119"/>
      <c r="AC14" s="119"/>
      <c r="AD14" s="119"/>
      <c r="AE14" s="119"/>
      <c r="AF14" s="120"/>
    </row>
    <row r="15" spans="2:33" x14ac:dyDescent="0.25">
      <c r="C15" s="41" t="s">
        <v>166</v>
      </c>
      <c r="H15" s="106"/>
      <c r="I15" s="106"/>
      <c r="J15" s="106"/>
      <c r="K15" s="106"/>
      <c r="L15" s="106"/>
      <c r="N15" s="17"/>
      <c r="O15" s="141" t="str">
        <f>txt_espaciador</f>
        <v>Espaciador</v>
      </c>
      <c r="P15" s="141"/>
      <c r="Q15" s="141"/>
      <c r="R15" s="141"/>
      <c r="S15" s="141"/>
      <c r="T15" s="152"/>
      <c r="U15" s="153"/>
      <c r="V15" s="40" t="s">
        <v>72</v>
      </c>
      <c r="W15" s="26"/>
      <c r="X15" s="118"/>
      <c r="Y15" s="119"/>
      <c r="Z15" s="119"/>
      <c r="AA15" s="119"/>
      <c r="AB15" s="119"/>
      <c r="AC15" s="119"/>
      <c r="AD15" s="119"/>
      <c r="AE15" s="119"/>
      <c r="AF15" s="120"/>
    </row>
    <row r="16" spans="2:33" x14ac:dyDescent="0.25">
      <c r="C16" s="42" t="str">
        <f>txt_campo_numérico</f>
        <v/>
      </c>
      <c r="D16" s="43"/>
      <c r="E16" s="43"/>
      <c r="F16" s="43"/>
      <c r="G16" s="43"/>
      <c r="H16" s="43"/>
      <c r="I16" s="43"/>
      <c r="J16" s="111"/>
      <c r="K16" s="111"/>
      <c r="L16" s="43" t="s">
        <v>72</v>
      </c>
      <c r="O16" s="156" t="s">
        <v>7</v>
      </c>
      <c r="P16" s="156"/>
      <c r="Q16" s="156"/>
      <c r="R16" s="156"/>
      <c r="S16" s="156"/>
      <c r="T16" s="152"/>
      <c r="U16" s="153"/>
      <c r="V16" s="40" t="s">
        <v>72</v>
      </c>
      <c r="W16" s="26"/>
      <c r="X16" s="118"/>
      <c r="Y16" s="119"/>
      <c r="Z16" s="119"/>
      <c r="AA16" s="119"/>
      <c r="AB16" s="119"/>
      <c r="AC16" s="119"/>
      <c r="AD16" s="119"/>
      <c r="AE16" s="119"/>
      <c r="AF16" s="120"/>
    </row>
    <row r="17" spans="2:33" ht="15" customHeight="1" x14ac:dyDescent="0.25">
      <c r="C17" s="137" t="s">
        <v>159</v>
      </c>
      <c r="D17" s="137"/>
      <c r="E17" s="137"/>
      <c r="F17" s="137"/>
      <c r="G17" s="137"/>
      <c r="H17" s="137"/>
      <c r="I17" s="137"/>
      <c r="J17" s="137"/>
      <c r="K17" s="137"/>
      <c r="L17" s="137"/>
      <c r="M17" s="36"/>
      <c r="N17" s="35"/>
      <c r="O17" s="141" t="s">
        <v>123</v>
      </c>
      <c r="P17" s="141"/>
      <c r="Q17" s="141"/>
      <c r="R17" s="141"/>
      <c r="S17" s="141"/>
      <c r="T17" s="154"/>
      <c r="U17" s="155"/>
      <c r="V17" s="40" t="s">
        <v>72</v>
      </c>
      <c r="W17" s="46"/>
      <c r="X17" s="121"/>
      <c r="Y17" s="122"/>
      <c r="Z17" s="122"/>
      <c r="AA17" s="122"/>
      <c r="AB17" s="122"/>
      <c r="AC17" s="122"/>
      <c r="AD17" s="122"/>
      <c r="AE17" s="122"/>
      <c r="AF17" s="123"/>
    </row>
    <row r="18" spans="2:33" x14ac:dyDescent="0.25">
      <c r="C18" s="137"/>
      <c r="D18" s="137"/>
      <c r="E18" s="137"/>
      <c r="F18" s="137"/>
      <c r="G18" s="137"/>
      <c r="H18" s="137"/>
      <c r="I18" s="137"/>
      <c r="J18" s="137"/>
      <c r="K18" s="137"/>
      <c r="L18" s="137"/>
      <c r="O18" s="141" t="s">
        <v>114</v>
      </c>
      <c r="P18" s="141"/>
      <c r="Q18" s="141"/>
      <c r="R18" s="141"/>
      <c r="S18" s="141"/>
      <c r="T18" s="154"/>
      <c r="U18" s="155"/>
      <c r="V18" s="40" t="s">
        <v>72</v>
      </c>
      <c r="W18" s="46"/>
      <c r="X18" s="115"/>
      <c r="Y18" s="116"/>
      <c r="Z18" s="116"/>
      <c r="AA18" s="116"/>
      <c r="AB18" s="116"/>
      <c r="AC18" s="116"/>
      <c r="AD18" s="116"/>
      <c r="AE18" s="116"/>
      <c r="AF18" s="117"/>
    </row>
    <row r="19" spans="2:33" ht="15" customHeight="1" x14ac:dyDescent="0.25">
      <c r="C19" s="44" t="s">
        <v>160</v>
      </c>
      <c r="D19" s="45"/>
      <c r="E19" s="45"/>
      <c r="F19" s="45"/>
      <c r="G19" s="43"/>
      <c r="H19" s="43"/>
      <c r="I19" s="43"/>
      <c r="J19" s="110"/>
      <c r="K19" s="110"/>
      <c r="L19" s="43"/>
      <c r="O19" s="142" t="s">
        <v>128</v>
      </c>
      <c r="P19" s="142"/>
      <c r="Q19" s="142"/>
      <c r="R19" s="142"/>
      <c r="S19" s="142"/>
      <c r="T19" s="142"/>
      <c r="U19" s="142"/>
      <c r="V19" s="142"/>
      <c r="W19" s="142"/>
      <c r="X19" s="135" t="str">
        <f>Cálculos!lg_calc</f>
        <v/>
      </c>
      <c r="Y19" s="135"/>
      <c r="Z19" s="47" t="s">
        <v>30</v>
      </c>
      <c r="AA19" s="49" t="s">
        <v>194</v>
      </c>
      <c r="AB19" s="43"/>
      <c r="AC19" s="47"/>
      <c r="AD19" s="43"/>
      <c r="AE19" s="43"/>
      <c r="AF19" s="48"/>
    </row>
    <row r="20" spans="2:33" x14ac:dyDescent="0.25">
      <c r="C20" s="44" t="s">
        <v>161</v>
      </c>
      <c r="D20" s="45"/>
      <c r="E20" s="45"/>
      <c r="F20" s="45"/>
      <c r="G20" s="43"/>
      <c r="H20" s="43"/>
      <c r="I20" s="43"/>
      <c r="J20" s="111"/>
      <c r="K20" s="111"/>
      <c r="L20" s="43"/>
      <c r="M20" s="31"/>
      <c r="O20" s="142"/>
      <c r="P20" s="142"/>
      <c r="Q20" s="142"/>
      <c r="R20" s="142"/>
      <c r="S20" s="142"/>
      <c r="T20" s="142"/>
      <c r="U20" s="142"/>
      <c r="V20" s="142"/>
      <c r="W20" s="142"/>
      <c r="X20" s="110"/>
      <c r="Y20" s="110"/>
      <c r="Z20" s="47" t="s">
        <v>30</v>
      </c>
      <c r="AA20" s="49" t="s">
        <v>140</v>
      </c>
      <c r="AB20" s="50"/>
      <c r="AC20" s="43"/>
      <c r="AD20" s="43"/>
      <c r="AE20" s="43"/>
      <c r="AF20" s="77"/>
    </row>
    <row r="21" spans="2:33" ht="7.5" customHeight="1" x14ac:dyDescent="0.25">
      <c r="S21" s="34"/>
      <c r="T21" s="34"/>
      <c r="U21" s="34"/>
      <c r="V21" s="34"/>
      <c r="W21" s="34"/>
      <c r="Y21" s="17"/>
      <c r="AE21" s="17"/>
    </row>
    <row r="22" spans="2:33" x14ac:dyDescent="0.25">
      <c r="B22" s="128" t="s">
        <v>133</v>
      </c>
      <c r="C22" s="128"/>
      <c r="D22" s="128"/>
      <c r="E22" s="128"/>
      <c r="F22" s="128"/>
      <c r="G22" s="128"/>
      <c r="H22" s="128"/>
      <c r="I22" s="128"/>
      <c r="J22" s="128"/>
      <c r="K22" s="128"/>
      <c r="L22" s="128"/>
      <c r="M22" s="128"/>
      <c r="N22" s="128"/>
      <c r="O22" s="128"/>
      <c r="P22" s="128"/>
      <c r="Q22" s="128"/>
      <c r="R22" s="128"/>
      <c r="S22" s="128"/>
      <c r="T22" s="128"/>
      <c r="U22" s="128"/>
      <c r="V22" s="128"/>
      <c r="W22" s="128"/>
      <c r="X22" s="128"/>
      <c r="Y22" s="128"/>
      <c r="Z22" s="128"/>
      <c r="AA22" s="128"/>
      <c r="AB22" s="128"/>
      <c r="AC22" s="128"/>
      <c r="AD22" s="128"/>
      <c r="AE22" s="128"/>
      <c r="AF22" s="128"/>
      <c r="AG22" s="128"/>
    </row>
    <row r="23" spans="2:33" ht="7.5" customHeight="1" x14ac:dyDescent="0.25">
      <c r="B23" s="32"/>
      <c r="C23" s="32"/>
      <c r="D23" s="32"/>
      <c r="E23" s="32"/>
      <c r="F23" s="32"/>
      <c r="G23" s="32"/>
      <c r="H23" s="32"/>
      <c r="I23" s="32"/>
      <c r="J23" s="32"/>
      <c r="K23" s="32"/>
      <c r="L23" s="32"/>
      <c r="M23" s="32"/>
      <c r="N23" s="32"/>
      <c r="O23" s="32"/>
      <c r="P23" s="32"/>
      <c r="Q23" s="32"/>
      <c r="R23" s="32"/>
      <c r="S23" s="32"/>
      <c r="T23" s="32"/>
      <c r="U23" s="32"/>
      <c r="V23" s="32"/>
      <c r="W23" s="32"/>
      <c r="X23" s="32"/>
      <c r="Y23" s="32"/>
      <c r="Z23" s="32"/>
      <c r="AA23" s="32"/>
      <c r="AB23" s="32"/>
      <c r="AC23" s="32"/>
      <c r="AD23" s="32"/>
      <c r="AE23" s="32"/>
      <c r="AF23" s="32"/>
      <c r="AG23" s="32"/>
    </row>
    <row r="24" spans="2:33" x14ac:dyDescent="0.25">
      <c r="B24" s="109" t="s">
        <v>124</v>
      </c>
      <c r="C24" s="109"/>
      <c r="D24" s="109"/>
      <c r="E24" s="109"/>
      <c r="F24" s="109"/>
      <c r="G24" s="109"/>
      <c r="H24" s="109"/>
      <c r="I24" s="109"/>
      <c r="J24" s="109"/>
      <c r="L24" s="109" t="s">
        <v>137</v>
      </c>
      <c r="M24" s="109"/>
      <c r="N24" s="109"/>
      <c r="O24" s="109"/>
      <c r="P24" s="109"/>
      <c r="Q24" s="109"/>
      <c r="R24" s="109"/>
      <c r="S24" s="109"/>
      <c r="T24" s="109"/>
      <c r="V24" s="109" t="s">
        <v>138</v>
      </c>
      <c r="W24" s="109"/>
      <c r="X24" s="109"/>
      <c r="Y24" s="109"/>
      <c r="Z24" s="109"/>
      <c r="AA24" s="109"/>
      <c r="AB24" s="109"/>
      <c r="AC24" s="109"/>
      <c r="AD24" s="109"/>
      <c r="AE24" s="109"/>
      <c r="AF24" s="109"/>
      <c r="AG24" s="109"/>
    </row>
    <row r="25" spans="2:33" x14ac:dyDescent="0.25">
      <c r="B25" s="114" t="s">
        <v>142</v>
      </c>
      <c r="C25" s="114"/>
      <c r="D25" s="114"/>
      <c r="E25" s="113" t="str">
        <f>Cálculos!Uf</f>
        <v/>
      </c>
      <c r="F25" s="113"/>
      <c r="G25" s="113"/>
      <c r="H25" s="112"/>
      <c r="I25" s="112"/>
      <c r="J25" s="112"/>
      <c r="L25" s="114" t="s">
        <v>134</v>
      </c>
      <c r="M25" s="114"/>
      <c r="N25" s="114"/>
      <c r="O25" s="113" t="str">
        <f>Cálculos!Ug</f>
        <v/>
      </c>
      <c r="P25" s="113"/>
      <c r="Q25" s="113"/>
      <c r="R25" s="112"/>
      <c r="S25" s="112"/>
      <c r="T25" s="112"/>
      <c r="U25" s="29"/>
      <c r="W25" s="114" t="s">
        <v>135</v>
      </c>
      <c r="X25" s="114"/>
      <c r="Y25" s="114"/>
      <c r="Z25" s="139" t="str">
        <f>Cálculos!Ψg</f>
        <v/>
      </c>
      <c r="AA25" s="139"/>
      <c r="AB25" s="139"/>
      <c r="AC25" s="112"/>
      <c r="AD25" s="112"/>
      <c r="AE25" s="112"/>
      <c r="AF25" s="28"/>
    </row>
    <row r="26" spans="2:33" x14ac:dyDescent="0.25">
      <c r="B26" s="114"/>
      <c r="C26" s="114"/>
      <c r="D26" s="114"/>
      <c r="E26" s="113"/>
      <c r="F26" s="113"/>
      <c r="G26" s="113"/>
      <c r="H26" s="112"/>
      <c r="I26" s="112"/>
      <c r="J26" s="112"/>
      <c r="L26" s="114"/>
      <c r="M26" s="114"/>
      <c r="N26" s="114"/>
      <c r="O26" s="113"/>
      <c r="P26" s="113"/>
      <c r="Q26" s="113"/>
      <c r="R26" s="112"/>
      <c r="S26" s="112"/>
      <c r="T26" s="112"/>
      <c r="U26" s="29"/>
      <c r="W26" s="114"/>
      <c r="X26" s="114"/>
      <c r="Y26" s="114"/>
      <c r="Z26" s="139"/>
      <c r="AA26" s="139"/>
      <c r="AB26" s="139"/>
      <c r="AC26" s="112"/>
      <c r="AD26" s="112"/>
      <c r="AE26" s="112"/>
      <c r="AF26" s="28"/>
    </row>
    <row r="27" spans="2:33" x14ac:dyDescent="0.25">
      <c r="B27" s="114"/>
      <c r="C27" s="114"/>
      <c r="D27" s="114"/>
      <c r="E27" s="113"/>
      <c r="F27" s="113"/>
      <c r="G27" s="113"/>
      <c r="H27" s="112"/>
      <c r="I27" s="112"/>
      <c r="J27" s="112"/>
      <c r="L27" s="114"/>
      <c r="M27" s="114"/>
      <c r="N27" s="114"/>
      <c r="O27" s="113"/>
      <c r="P27" s="113"/>
      <c r="Q27" s="113"/>
      <c r="R27" s="112"/>
      <c r="S27" s="112"/>
      <c r="T27" s="112"/>
      <c r="U27" s="29"/>
      <c r="W27" s="114"/>
      <c r="X27" s="114"/>
      <c r="Y27" s="114"/>
      <c r="Z27" s="139"/>
      <c r="AA27" s="139"/>
      <c r="AB27" s="139"/>
      <c r="AC27" s="112"/>
      <c r="AD27" s="112"/>
      <c r="AE27" s="112"/>
      <c r="AF27" s="28"/>
    </row>
    <row r="28" spans="2:33" ht="7.5" customHeight="1" x14ac:dyDescent="0.25"/>
    <row r="29" spans="2:33" x14ac:dyDescent="0.25">
      <c r="B29" s="128" t="s">
        <v>139</v>
      </c>
      <c r="C29" s="128"/>
      <c r="D29" s="128"/>
      <c r="E29" s="128"/>
      <c r="F29" s="128"/>
      <c r="G29" s="128"/>
      <c r="H29" s="128"/>
      <c r="I29" s="128"/>
      <c r="J29" s="128"/>
      <c r="K29" s="128"/>
      <c r="L29" s="128"/>
      <c r="M29" s="128"/>
      <c r="N29" s="128"/>
      <c r="O29" s="128"/>
      <c r="P29" s="128"/>
      <c r="Q29" s="128"/>
      <c r="R29" s="128"/>
      <c r="S29" s="128"/>
      <c r="T29" s="128"/>
      <c r="U29" s="128"/>
      <c r="V29" s="128"/>
      <c r="W29" s="128"/>
      <c r="X29" s="128"/>
      <c r="Y29" s="128"/>
      <c r="Z29" s="128"/>
      <c r="AA29" s="128"/>
      <c r="AB29" s="128"/>
      <c r="AC29" s="128"/>
      <c r="AD29" s="128"/>
      <c r="AE29" s="128"/>
      <c r="AF29" s="128"/>
      <c r="AG29" s="128"/>
    </row>
    <row r="30" spans="2:33" ht="7.5" customHeight="1" x14ac:dyDescent="0.25">
      <c r="B30" s="32"/>
      <c r="C30" s="32"/>
      <c r="D30" s="32"/>
      <c r="E30" s="32"/>
      <c r="F30" s="32"/>
      <c r="G30" s="32"/>
      <c r="H30" s="32"/>
      <c r="I30" s="32"/>
      <c r="J30" s="32"/>
      <c r="K30" s="32"/>
      <c r="L30" s="32"/>
      <c r="M30" s="32"/>
      <c r="N30" s="32"/>
      <c r="O30" s="32"/>
      <c r="P30" s="32"/>
      <c r="Q30" s="32"/>
      <c r="R30" s="32"/>
      <c r="S30" s="32"/>
      <c r="T30" s="32"/>
      <c r="U30" s="32"/>
      <c r="V30" s="32"/>
      <c r="W30" s="32"/>
      <c r="X30" s="32"/>
      <c r="Y30" s="32"/>
      <c r="Z30" s="32"/>
      <c r="AA30" s="32"/>
      <c r="AB30" s="32"/>
      <c r="AC30" s="32"/>
      <c r="AD30" s="32"/>
      <c r="AE30" s="32"/>
      <c r="AF30" s="32"/>
      <c r="AG30" s="32"/>
    </row>
    <row r="31" spans="2:33" ht="12" customHeight="1" x14ac:dyDescent="0.25">
      <c r="B31" s="51"/>
      <c r="C31" s="148" t="s">
        <v>132</v>
      </c>
      <c r="D31" s="148"/>
      <c r="E31" s="148"/>
      <c r="F31" s="148"/>
      <c r="G31" s="148"/>
      <c r="H31" s="148"/>
      <c r="I31" s="148"/>
      <c r="J31" s="148"/>
      <c r="K31" s="148"/>
      <c r="L31" s="148"/>
      <c r="M31" s="148"/>
      <c r="N31" s="148"/>
      <c r="O31" s="148"/>
      <c r="P31" s="149" t="str">
        <f>Cálculos!Uw</f>
        <v/>
      </c>
      <c r="Q31" s="149"/>
      <c r="R31" s="149"/>
      <c r="S31" s="109"/>
      <c r="T31" s="109"/>
      <c r="U31" s="109"/>
      <c r="V31" s="51"/>
      <c r="W31" s="51"/>
      <c r="Y31" s="51"/>
      <c r="Z31" s="51"/>
      <c r="AA31" s="51"/>
      <c r="AB31" s="147" t="s">
        <v>162</v>
      </c>
      <c r="AC31" s="147"/>
      <c r="AD31" s="147"/>
      <c r="AE31" s="147"/>
    </row>
    <row r="32" spans="2:33" ht="15" customHeight="1" x14ac:dyDescent="0.25">
      <c r="C32" s="148"/>
      <c r="D32" s="148"/>
      <c r="E32" s="148"/>
      <c r="F32" s="148"/>
      <c r="G32" s="148"/>
      <c r="H32" s="148"/>
      <c r="I32" s="148"/>
      <c r="J32" s="148"/>
      <c r="K32" s="148"/>
      <c r="L32" s="148"/>
      <c r="M32" s="148"/>
      <c r="N32" s="148"/>
      <c r="O32" s="148"/>
      <c r="P32" s="149"/>
      <c r="Q32" s="149"/>
      <c r="R32" s="149"/>
      <c r="S32" s="109"/>
      <c r="T32" s="109"/>
      <c r="U32" s="109"/>
      <c r="X32" s="105" t="s">
        <v>164</v>
      </c>
      <c r="Y32" s="105"/>
      <c r="Z32" s="105"/>
      <c r="AA32" s="105"/>
      <c r="AB32" s="146">
        <f>aporte_marco</f>
        <v>0</v>
      </c>
      <c r="AC32" s="146"/>
      <c r="AD32" s="145">
        <f>aporte_marco</f>
        <v>0</v>
      </c>
      <c r="AE32" s="145"/>
    </row>
    <row r="33" spans="2:33" ht="15" customHeight="1" x14ac:dyDescent="0.25">
      <c r="C33" s="148"/>
      <c r="D33" s="148"/>
      <c r="E33" s="148"/>
      <c r="F33" s="148"/>
      <c r="G33" s="148"/>
      <c r="H33" s="148"/>
      <c r="I33" s="148"/>
      <c r="J33" s="148"/>
      <c r="K33" s="148"/>
      <c r="L33" s="148"/>
      <c r="M33" s="148"/>
      <c r="N33" s="148"/>
      <c r="O33" s="148"/>
      <c r="P33" s="149"/>
      <c r="Q33" s="149"/>
      <c r="R33" s="149"/>
      <c r="S33" s="109"/>
      <c r="T33" s="109"/>
      <c r="U33" s="109"/>
      <c r="X33" s="105" t="s">
        <v>95</v>
      </c>
      <c r="Y33" s="105"/>
      <c r="Z33" s="105"/>
      <c r="AA33" s="105"/>
      <c r="AB33" s="146">
        <f>aporte_vidriado</f>
        <v>0</v>
      </c>
      <c r="AC33" s="146"/>
      <c r="AD33" s="145">
        <f>aporte_vidriado</f>
        <v>0</v>
      </c>
      <c r="AE33" s="145"/>
    </row>
    <row r="34" spans="2:33" ht="15" customHeight="1" x14ac:dyDescent="0.25">
      <c r="C34" s="148"/>
      <c r="D34" s="148"/>
      <c r="E34" s="148"/>
      <c r="F34" s="148"/>
      <c r="G34" s="148"/>
      <c r="H34" s="148"/>
      <c r="I34" s="148"/>
      <c r="J34" s="148"/>
      <c r="K34" s="148"/>
      <c r="L34" s="148"/>
      <c r="M34" s="148"/>
      <c r="N34" s="148"/>
      <c r="O34" s="148"/>
      <c r="P34" s="149"/>
      <c r="Q34" s="149"/>
      <c r="R34" s="149"/>
      <c r="S34" s="109"/>
      <c r="T34" s="109"/>
      <c r="U34" s="109"/>
      <c r="X34" s="105" t="s">
        <v>165</v>
      </c>
      <c r="Y34" s="105"/>
      <c r="Z34" s="105"/>
      <c r="AA34" s="105"/>
      <c r="AB34" s="146">
        <f>aporte_espaciador</f>
        <v>0</v>
      </c>
      <c r="AC34" s="146"/>
      <c r="AD34" s="145">
        <f>aporte_espaciador</f>
        <v>0</v>
      </c>
      <c r="AE34" s="145"/>
    </row>
    <row r="35" spans="2:33" ht="7.5" customHeight="1" x14ac:dyDescent="0.25">
      <c r="B35" s="24"/>
      <c r="C35" s="24"/>
      <c r="D35" s="24"/>
      <c r="E35" s="24"/>
      <c r="F35" s="30"/>
      <c r="G35" s="30"/>
      <c r="H35" s="24"/>
      <c r="I35" s="24"/>
      <c r="J35" s="24"/>
      <c r="Z35" s="29"/>
      <c r="AA35" s="29"/>
      <c r="AE35" s="24"/>
    </row>
    <row r="36" spans="2:33" x14ac:dyDescent="0.25">
      <c r="B36" s="22" t="s">
        <v>121</v>
      </c>
    </row>
    <row r="37" spans="2:33" x14ac:dyDescent="0.25">
      <c r="B37" s="144" t="str">
        <f>txt_cálculo</f>
        <v/>
      </c>
      <c r="C37" s="144"/>
      <c r="D37" s="144"/>
      <c r="E37" s="144"/>
      <c r="F37" s="144"/>
      <c r="G37" s="144"/>
      <c r="H37" s="144"/>
      <c r="I37" s="144"/>
      <c r="J37" s="144"/>
      <c r="K37" s="144"/>
      <c r="L37" s="144"/>
      <c r="M37" s="144"/>
      <c r="N37" s="144"/>
      <c r="O37" s="144"/>
      <c r="P37" s="144"/>
      <c r="Q37" s="144"/>
      <c r="R37" s="144"/>
      <c r="S37" s="144"/>
      <c r="T37" s="144"/>
      <c r="U37" s="144"/>
      <c r="V37" s="144"/>
      <c r="W37" s="144"/>
      <c r="X37" s="144"/>
      <c r="Y37" s="144"/>
      <c r="Z37" s="144"/>
      <c r="AA37" s="144"/>
      <c r="AB37" s="144"/>
      <c r="AC37" s="144"/>
      <c r="AD37" s="144"/>
      <c r="AE37" s="144"/>
      <c r="AF37" s="144"/>
    </row>
    <row r="38" spans="2:33" s="60" customFormat="1" x14ac:dyDescent="0.25">
      <c r="B38" s="144"/>
      <c r="C38" s="144"/>
      <c r="D38" s="144"/>
      <c r="E38" s="144"/>
      <c r="F38" s="144"/>
      <c r="G38" s="144"/>
      <c r="H38" s="144"/>
      <c r="I38" s="144"/>
      <c r="J38" s="144"/>
      <c r="K38" s="144"/>
      <c r="L38" s="144"/>
      <c r="M38" s="144"/>
      <c r="N38" s="144"/>
      <c r="O38" s="144"/>
      <c r="P38" s="144"/>
      <c r="Q38" s="144"/>
      <c r="R38" s="144"/>
      <c r="S38" s="144"/>
      <c r="T38" s="144"/>
      <c r="U38" s="144"/>
      <c r="V38" s="144"/>
      <c r="W38" s="144"/>
      <c r="X38" s="144"/>
      <c r="Y38" s="144"/>
      <c r="Z38" s="144"/>
      <c r="AA38" s="144"/>
      <c r="AB38" s="144"/>
      <c r="AC38" s="144"/>
      <c r="AD38" s="144"/>
      <c r="AE38" s="144"/>
      <c r="AF38" s="144"/>
    </row>
    <row r="39" spans="2:33" ht="15" customHeight="1" x14ac:dyDescent="0.25">
      <c r="B39" s="144"/>
      <c r="C39" s="144"/>
      <c r="D39" s="144"/>
      <c r="E39" s="144"/>
      <c r="F39" s="144"/>
      <c r="G39" s="144"/>
      <c r="H39" s="144"/>
      <c r="I39" s="144"/>
      <c r="J39" s="144"/>
      <c r="K39" s="144"/>
      <c r="L39" s="144"/>
      <c r="M39" s="144"/>
      <c r="N39" s="144"/>
      <c r="O39" s="144"/>
      <c r="P39" s="144"/>
      <c r="Q39" s="144"/>
      <c r="R39" s="144"/>
      <c r="S39" s="144"/>
      <c r="T39" s="144"/>
      <c r="U39" s="144"/>
      <c r="V39" s="144"/>
      <c r="W39" s="144"/>
      <c r="X39" s="144"/>
      <c r="Y39" s="144"/>
      <c r="Z39" s="144"/>
      <c r="AA39" s="144"/>
      <c r="AB39" s="144"/>
      <c r="AC39" s="144"/>
      <c r="AD39" s="144"/>
      <c r="AE39" s="144"/>
      <c r="AF39" s="144"/>
    </row>
    <row r="40" spans="2:33" ht="7.5" customHeight="1" x14ac:dyDescent="0.25"/>
    <row r="41" spans="2:33" x14ac:dyDescent="0.25">
      <c r="B41" s="107" t="s">
        <v>146</v>
      </c>
      <c r="C41" s="107"/>
      <c r="D41" s="107"/>
      <c r="E41" s="106"/>
      <c r="F41" s="106"/>
      <c r="G41" s="106"/>
      <c r="H41" s="106"/>
      <c r="I41" s="27"/>
      <c r="J41" s="23" t="s">
        <v>151</v>
      </c>
      <c r="L41"/>
      <c r="Q41" s="60"/>
      <c r="R41" s="60"/>
      <c r="S41" s="60"/>
      <c r="T41" s="106"/>
      <c r="U41" s="106"/>
      <c r="V41" s="106"/>
      <c r="W41" s="106"/>
      <c r="X41" s="106"/>
      <c r="Y41" s="106"/>
      <c r="Z41" s="106"/>
      <c r="AA41" s="106"/>
      <c r="AB41" s="106"/>
      <c r="AC41" s="106"/>
      <c r="AD41" s="106"/>
      <c r="AE41" s="106"/>
      <c r="AF41" s="106"/>
      <c r="AG41"/>
    </row>
    <row r="42" spans="2:33" x14ac:dyDescent="0.25"/>
    <row r="43" spans="2:33" x14ac:dyDescent="0.25"/>
  </sheetData>
  <sheetProtection algorithmName="SHA-512" hashValue="PLDb5D6lKfO75KE/CyOJ4wKNyFfegPIH9eGu0BRw1V6FajH5Iq2OxpF3pCaKCVJq6GL4OUUNHnFtvhVD9+Kt8g==" saltValue="gGPy21ghoxkWiYSe4alKug==" spinCount="100000" sheet="1" selectLockedCells="1"/>
  <mergeCells count="81">
    <mergeCell ref="P31:R34"/>
    <mergeCell ref="S31:U34"/>
    <mergeCell ref="C12:G12"/>
    <mergeCell ref="K12:L12"/>
    <mergeCell ref="I12:J12"/>
    <mergeCell ref="O14:S14"/>
    <mergeCell ref="T14:U14"/>
    <mergeCell ref="T15:U15"/>
    <mergeCell ref="T16:U16"/>
    <mergeCell ref="T17:U17"/>
    <mergeCell ref="O15:S15"/>
    <mergeCell ref="O16:S16"/>
    <mergeCell ref="T18:U18"/>
    <mergeCell ref="C14:G14"/>
    <mergeCell ref="B37:AF39"/>
    <mergeCell ref="X20:Y20"/>
    <mergeCell ref="AD32:AE32"/>
    <mergeCell ref="AD33:AE33"/>
    <mergeCell ref="AD34:AE34"/>
    <mergeCell ref="AB32:AC32"/>
    <mergeCell ref="AB33:AC33"/>
    <mergeCell ref="AB34:AC34"/>
    <mergeCell ref="X32:AA32"/>
    <mergeCell ref="X33:AA33"/>
    <mergeCell ref="X34:AA34"/>
    <mergeCell ref="B22:AG22"/>
    <mergeCell ref="B29:AG29"/>
    <mergeCell ref="L24:T24"/>
    <mergeCell ref="AB31:AE31"/>
    <mergeCell ref="C31:O34"/>
    <mergeCell ref="B25:D27"/>
    <mergeCell ref="J6:J7"/>
    <mergeCell ref="C17:L18"/>
    <mergeCell ref="AA12:AB12"/>
    <mergeCell ref="V24:AG24"/>
    <mergeCell ref="X13:AF13"/>
    <mergeCell ref="O25:Q27"/>
    <mergeCell ref="Z25:AB27"/>
    <mergeCell ref="T6:U6"/>
    <mergeCell ref="O18:S18"/>
    <mergeCell ref="O19:W20"/>
    <mergeCell ref="T7:U7"/>
    <mergeCell ref="B10:AG10"/>
    <mergeCell ref="C13:L13"/>
    <mergeCell ref="O17:S17"/>
    <mergeCell ref="T13:W13"/>
    <mergeCell ref="O13:S13"/>
    <mergeCell ref="AC12:AF12"/>
    <mergeCell ref="H15:L15"/>
    <mergeCell ref="X19:Y19"/>
    <mergeCell ref="H8:I8"/>
    <mergeCell ref="C8:G8"/>
    <mergeCell ref="B1:AG1"/>
    <mergeCell ref="J16:K16"/>
    <mergeCell ref="H4:I4"/>
    <mergeCell ref="H5:I5"/>
    <mergeCell ref="C4:G4"/>
    <mergeCell ref="C5:G5"/>
    <mergeCell ref="C6:G7"/>
    <mergeCell ref="H6:I7"/>
    <mergeCell ref="B2:AG2"/>
    <mergeCell ref="AD6:AE6"/>
    <mergeCell ref="X14:AF14"/>
    <mergeCell ref="X16:AF16"/>
    <mergeCell ref="U12:Y12"/>
    <mergeCell ref="T41:AF41"/>
    <mergeCell ref="B41:D41"/>
    <mergeCell ref="E41:H41"/>
    <mergeCell ref="H14:L14"/>
    <mergeCell ref="B24:J24"/>
    <mergeCell ref="J19:K19"/>
    <mergeCell ref="J20:K20"/>
    <mergeCell ref="H25:J27"/>
    <mergeCell ref="R25:T27"/>
    <mergeCell ref="E25:G27"/>
    <mergeCell ref="L25:N27"/>
    <mergeCell ref="W25:Y27"/>
    <mergeCell ref="AC25:AE27"/>
    <mergeCell ref="X18:AF18"/>
    <mergeCell ref="X15:AF15"/>
    <mergeCell ref="X17:AF17"/>
  </mergeCells>
  <conditionalFormatting sqref="AD32:AE34">
    <cfRule type="dataBar" priority="6">
      <dataBar showValue="0">
        <cfvo type="min"/>
        <cfvo type="max"/>
        <color rgb="FFFFB628"/>
      </dataBar>
      <extLst>
        <ext xmlns:x14="http://schemas.microsoft.com/office/spreadsheetml/2009/9/main" uri="{B025F937-C7B1-47D3-B67F-A62EFF666E3E}">
          <x14:id>{EA3CA03C-7155-48C4-BE5D-E34CE55369A9}</x14:id>
        </ext>
      </extLst>
    </cfRule>
  </conditionalFormatting>
  <dataValidations count="1">
    <dataValidation type="list" allowBlank="1" showInputMessage="1" showErrorMessage="1" sqref="H14:L14" xr:uid="{00000000-0002-0000-0100-000000000000}">
      <formula1>opciones_tipo_cierre</formula1>
    </dataValidation>
  </dataValidations>
  <pageMargins left="0.7" right="0.7" top="0.75" bottom="0.75" header="0.3" footer="0.3"/>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2051" r:id="rId4" name="Group Box 3">
              <controlPr defaultSize="0" autoFill="0" autoPict="0">
                <anchor moveWithCells="1">
                  <from>
                    <xdr:col>11</xdr:col>
                    <xdr:colOff>95250</xdr:colOff>
                    <xdr:row>2</xdr:row>
                    <xdr:rowOff>76200</xdr:rowOff>
                  </from>
                  <to>
                    <xdr:col>31</xdr:col>
                    <xdr:colOff>142875</xdr:colOff>
                    <xdr:row>7</xdr:row>
                    <xdr:rowOff>38100</xdr:rowOff>
                  </to>
                </anchor>
              </controlPr>
            </control>
          </mc:Choice>
        </mc:AlternateContent>
        <mc:AlternateContent xmlns:mc="http://schemas.openxmlformats.org/markup-compatibility/2006">
          <mc:Choice Requires="x14">
            <control shapeId="2053" r:id="rId5" name="Option Button 5">
              <controlPr defaultSize="0" autoFill="0" autoLine="0" autoPict="0">
                <anchor moveWithCells="1">
                  <from>
                    <xdr:col>13</xdr:col>
                    <xdr:colOff>0</xdr:colOff>
                    <xdr:row>4</xdr:row>
                    <xdr:rowOff>0</xdr:rowOff>
                  </from>
                  <to>
                    <xdr:col>14</xdr:col>
                    <xdr:colOff>123825</xdr:colOff>
                    <xdr:row>5</xdr:row>
                    <xdr:rowOff>28575</xdr:rowOff>
                  </to>
                </anchor>
              </controlPr>
            </control>
          </mc:Choice>
        </mc:AlternateContent>
        <mc:AlternateContent xmlns:mc="http://schemas.openxmlformats.org/markup-compatibility/2006">
          <mc:Choice Requires="x14">
            <control shapeId="2054" r:id="rId6" name="Option Button 6">
              <controlPr defaultSize="0" autoFill="0" autoLine="0" autoPict="0">
                <anchor moveWithCells="1">
                  <from>
                    <xdr:col>23</xdr:col>
                    <xdr:colOff>0</xdr:colOff>
                    <xdr:row>4</xdr:row>
                    <xdr:rowOff>0</xdr:rowOff>
                  </from>
                  <to>
                    <xdr:col>24</xdr:col>
                    <xdr:colOff>123825</xdr:colOff>
                    <xdr:row>5</xdr:row>
                    <xdr:rowOff>28575</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dataBar" id="{EA3CA03C-7155-48C4-BE5D-E34CE55369A9}">
            <x14:dataBar minLength="0" maxLength="100" gradient="0" direction="leftToRight">
              <x14:cfvo type="autoMin"/>
              <x14:cfvo type="autoMax"/>
              <x14:negativeFillColor rgb="FFFF0000"/>
              <x14:axisColor rgb="FF000000"/>
            </x14:dataBar>
          </x14:cfRule>
          <xm:sqref>AD32:AE34</xm:sqref>
        </x14:conditionalFormatting>
        <x14:conditionalFormatting xmlns:xm="http://schemas.microsoft.com/office/excel/2006/main">
          <x14:cfRule type="expression" priority="15" id="{95C7A051-AFE6-4E7A-AFE3-C78C80B10265}">
            <xm:f>Cálculos!$I$3&lt;2</xm:f>
            <x14:dxf>
              <font>
                <color theme="0"/>
              </font>
              <fill>
                <patternFill>
                  <bgColor theme="0"/>
                </patternFill>
              </fill>
              <border>
                <left/>
                <right/>
                <top/>
                <bottom/>
              </border>
            </x14:dxf>
          </x14:cfRule>
          <xm:sqref>X19:Z19 X20:AA20 O19 Z21 S21 AA12 X21 AC12</xm:sqref>
        </x14:conditionalFormatting>
        <x14:conditionalFormatting xmlns:xm="http://schemas.microsoft.com/office/excel/2006/main">
          <x14:cfRule type="expression" priority="11" id="{28643598-8CB2-4D14-B17A-C4C0B88495DB}">
            <xm:f>Cálculos!$I$3&lt;2</xm:f>
            <x14:dxf>
              <font>
                <color theme="0"/>
              </font>
              <fill>
                <patternFill>
                  <bgColor theme="0"/>
                </patternFill>
              </fill>
              <border>
                <left/>
                <right/>
                <top/>
                <bottom/>
                <vertical/>
                <horizontal/>
              </border>
            </x14:dxf>
          </x14:cfRule>
          <xm:sqref>O16:S16 V16:AF16 O15:AF15</xm:sqref>
        </x14:conditionalFormatting>
        <x14:conditionalFormatting xmlns:xm="http://schemas.microsoft.com/office/excel/2006/main">
          <x14:cfRule type="expression" priority="10" id="{71FF0EB1-A0D4-48EE-9034-E79E733188D8}">
            <xm:f>Cálculos!$I$3&lt;3</xm:f>
            <x14:dxf>
              <font>
                <color theme="0"/>
              </font>
              <fill>
                <patternFill>
                  <bgColor theme="0"/>
                </patternFill>
              </fill>
              <border>
                <left/>
                <right/>
                <top/>
                <bottom/>
                <vertical/>
                <horizontal/>
              </border>
            </x14:dxf>
          </x14:cfRule>
          <xm:sqref>O17:AF18</xm:sqref>
        </x14:conditionalFormatting>
        <x14:conditionalFormatting xmlns:xm="http://schemas.microsoft.com/office/excel/2006/main">
          <x14:cfRule type="expression" priority="9" id="{19CBD635-7F1D-4992-9A10-C84ED3E51D08}">
            <xm:f>(Cálculos!$C$13&gt;=0)</xm:f>
            <x14:dxf>
              <font>
                <color theme="0"/>
              </font>
              <fill>
                <patternFill>
                  <bgColor theme="0"/>
                </patternFill>
              </fill>
              <border>
                <left/>
                <right/>
                <top/>
                <bottom/>
                <vertical/>
                <horizontal/>
              </border>
            </x14:dxf>
          </x14:cfRule>
          <xm:sqref>C17 C19:H20 J19:L20</xm:sqref>
        </x14:conditionalFormatting>
        <x14:conditionalFormatting xmlns:xm="http://schemas.microsoft.com/office/excel/2006/main">
          <x14:cfRule type="expression" priority="8" id="{5EE11C33-D78A-470A-B580-BBA9F35BB5D6}">
            <xm:f>(Cálculos!$C$13&gt;2)+(Cálculos!$C$13=0)</xm:f>
            <x14:dxf>
              <font>
                <color theme="0"/>
              </font>
              <fill>
                <patternFill>
                  <bgColor theme="0"/>
                </patternFill>
              </fill>
              <border>
                <bottom/>
                <vertical/>
                <horizontal/>
              </border>
            </x14:dxf>
          </x14:cfRule>
          <xm:sqref>J16:M16</xm:sqref>
        </x14:conditionalFormatting>
        <x14:conditionalFormatting xmlns:xm="http://schemas.microsoft.com/office/excel/2006/main">
          <x14:cfRule type="expression" priority="4" id="{5E36DCA5-4F20-4AF8-9C3F-9C33E8CA3149}">
            <xm:f>Cálculos!$I$3=0</xm:f>
            <x14:dxf>
              <font>
                <color theme="0"/>
              </font>
              <fill>
                <patternFill>
                  <bgColor theme="0"/>
                </patternFill>
              </fill>
            </x14:dxf>
          </x14:cfRule>
          <xm:sqref>O14:AF14</xm:sqref>
        </x14:conditionalFormatting>
        <x14:conditionalFormatting xmlns:xm="http://schemas.microsoft.com/office/excel/2006/main">
          <x14:cfRule type="expression" priority="3" id="{E813152D-C0EF-4D71-BE81-66674F54891C}">
            <xm:f>Cálculos!$I$3&lt;2</xm:f>
            <x14:dxf>
              <font>
                <color theme="0"/>
              </font>
              <fill>
                <patternFill>
                  <bgColor theme="0"/>
                </patternFill>
              </fill>
              <border>
                <left/>
                <right/>
                <top/>
                <bottom/>
              </border>
            </x14:dxf>
          </x14:cfRule>
          <xm:sqref>AA19</xm:sqref>
        </x14:conditionalFormatting>
        <x14:conditionalFormatting xmlns:xm="http://schemas.microsoft.com/office/excel/2006/main">
          <x14:cfRule type="expression" priority="1" id="{887F656F-D79C-4B24-BB81-4D5C9300B115}">
            <xm:f>Cálculos!$I$3&lt;2</xm:f>
            <x14:dxf>
              <font>
                <color theme="0"/>
              </font>
              <fill>
                <patternFill>
                  <bgColor theme="0"/>
                </patternFill>
              </fill>
              <border>
                <left/>
                <right/>
                <top/>
                <bottom/>
                <vertical/>
                <horizontal/>
              </border>
            </x14:dxf>
          </x14:cfRule>
          <xm:sqref>T16:U16</xm:sqref>
        </x14:conditionalFormatting>
      </x14:conditionalFormattings>
    </ext>
    <ext xmlns:x14="http://schemas.microsoft.com/office/spreadsheetml/2009/9/main" uri="{CCE6A557-97BC-4b89-ADB6-D9C93CAAB3DF}">
      <x14:dataValidations xmlns:xm="http://schemas.microsoft.com/office/excel/2006/main" count="5">
        <x14:dataValidation type="list" allowBlank="1" showInputMessage="1" showErrorMessage="1" xr:uid="{00000000-0002-0000-0100-000001000000}">
          <x14:formula1>
            <xm:f>Aux!$C$26:$C$29</xm:f>
          </x14:formula1>
          <xm:sqref>H15</xm:sqref>
        </x14:dataValidation>
        <x14:dataValidation type="list" allowBlank="1" showInputMessage="1" showErrorMessage="1" xr:uid="{00000000-0002-0000-0100-000002000000}">
          <x14:formula1>
            <xm:f>Aux!$G$31:$G$35</xm:f>
          </x14:formula1>
          <xm:sqref>X16 X14</xm:sqref>
        </x14:dataValidation>
        <x14:dataValidation type="list" allowBlank="1" showInputMessage="1" showErrorMessage="1" xr:uid="{00000000-0002-0000-0100-000003000000}">
          <x14:formula1>
            <xm:f>Aux!$G$25:$G$26</xm:f>
          </x14:formula1>
          <xm:sqref>U12:Y12</xm:sqref>
        </x14:dataValidation>
        <x14:dataValidation type="list" allowBlank="1" xr:uid="{00000000-0002-0000-0100-000004000000}">
          <x14:formula1>
            <xm:f>Aux!$H$76:$H$79</xm:f>
          </x14:formula1>
          <xm:sqref>C13:L13</xm:sqref>
        </x14:dataValidation>
        <x14:dataValidation type="list" allowBlank="1" showInputMessage="1" showErrorMessage="1" xr:uid="{00000000-0002-0000-0100-000005000000}">
          <x14:formula1>
            <xm:f>Aux!$G$38:$G$39</xm:f>
          </x14:formula1>
          <xm:sqref>X15:AF15</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Hoja3"/>
  <dimension ref="B1:V44"/>
  <sheetViews>
    <sheetView topLeftCell="A4" workbookViewId="0">
      <selection activeCell="I15" sqref="I15"/>
    </sheetView>
  </sheetViews>
  <sheetFormatPr baseColWidth="10" defaultRowHeight="15" x14ac:dyDescent="0.25"/>
  <cols>
    <col min="1" max="1" width="3" style="21" customWidth="1"/>
    <col min="2" max="4" width="11.42578125" style="21"/>
    <col min="5" max="5" width="11.85546875" style="21" bestFit="1" customWidth="1"/>
    <col min="6" max="7" width="11.42578125" style="21"/>
    <col min="8" max="8" width="19" style="21" bestFit="1" customWidth="1"/>
    <col min="9" max="11" width="11.42578125" style="21"/>
    <col min="12" max="12" width="11.85546875" style="21" bestFit="1" customWidth="1"/>
    <col min="13" max="13" width="15.7109375" style="21" customWidth="1"/>
    <col min="14" max="14" width="14.7109375" style="21" bestFit="1" customWidth="1"/>
    <col min="15" max="16" width="11.85546875" style="21" bestFit="1" customWidth="1"/>
    <col min="17" max="16384" width="11.42578125" style="21"/>
  </cols>
  <sheetData>
    <row r="1" spans="2:22" ht="15.75" thickBot="1" x14ac:dyDescent="0.3"/>
    <row r="2" spans="2:22" ht="15.75" thickBot="1" x14ac:dyDescent="0.3">
      <c r="B2" s="61" t="s">
        <v>156</v>
      </c>
      <c r="C2" s="62"/>
      <c r="D2" s="62"/>
      <c r="E2" s="62"/>
      <c r="F2" s="63"/>
      <c r="H2" s="61" t="s">
        <v>77</v>
      </c>
      <c r="I2" s="64" t="s">
        <v>2</v>
      </c>
      <c r="J2" s="64" t="str">
        <f>IFERROR(CHOOSE(tipo_vidriado,1/(Rsi+K5+Rse),1/(Rsi+K5+K6+K7+Rse),1/(Rsi+K5+K6+K7+K8+K9+Rse)),"")</f>
        <v/>
      </c>
      <c r="K2" s="64" t="s">
        <v>181</v>
      </c>
      <c r="L2" s="64"/>
      <c r="M2" s="64"/>
      <c r="N2" s="65"/>
      <c r="P2" s="94" t="s">
        <v>247</v>
      </c>
      <c r="Q2" s="95"/>
      <c r="R2" s="94" t="s">
        <v>53</v>
      </c>
      <c r="S2" s="96" t="e">
        <f>1/T8</f>
        <v>#DIV/0!</v>
      </c>
      <c r="T2" s="97" t="s">
        <v>248</v>
      </c>
      <c r="U2" s="95"/>
      <c r="V2" s="98"/>
    </row>
    <row r="3" spans="2:22" x14ac:dyDescent="0.25">
      <c r="B3" s="5"/>
      <c r="C3" s="21" t="s">
        <v>92</v>
      </c>
      <c r="D3" s="21">
        <f>Datos!H4/1000</f>
        <v>0</v>
      </c>
      <c r="E3" s="21" t="s">
        <v>30</v>
      </c>
      <c r="F3" s="6"/>
      <c r="H3" s="5" t="s">
        <v>100</v>
      </c>
      <c r="I3" s="21">
        <f>IF($J$3=0,0,MATCH($J$3,Aux!G25:G27,0))</f>
        <v>0</v>
      </c>
      <c r="J3" s="21">
        <f>Datos!$U$12</f>
        <v>0</v>
      </c>
      <c r="N3" s="6"/>
      <c r="P3" s="19" t="s">
        <v>18</v>
      </c>
      <c r="Q3" s="18" t="s">
        <v>8</v>
      </c>
      <c r="R3" s="18"/>
      <c r="S3" s="56" t="s">
        <v>20</v>
      </c>
      <c r="T3" s="18">
        <f>A_gas*(Grgas*Pr_gas)^n_gas</f>
        <v>0</v>
      </c>
      <c r="U3" s="18" t="s">
        <v>50</v>
      </c>
      <c r="V3" s="54"/>
    </row>
    <row r="4" spans="2:22" x14ac:dyDescent="0.25">
      <c r="B4" s="5"/>
      <c r="C4" s="21" t="s">
        <v>91</v>
      </c>
      <c r="D4" s="21">
        <f>Datos!H5/1000</f>
        <v>0</v>
      </c>
      <c r="E4" s="21" t="s">
        <v>30</v>
      </c>
      <c r="F4" s="6"/>
      <c r="H4" s="5"/>
      <c r="I4" s="12" t="s">
        <v>71</v>
      </c>
      <c r="J4" s="12" t="s">
        <v>54</v>
      </c>
      <c r="K4" s="21" t="s">
        <v>113</v>
      </c>
      <c r="L4" s="12" t="s">
        <v>34</v>
      </c>
      <c r="N4" s="6"/>
      <c r="P4" s="20" t="s">
        <v>27</v>
      </c>
      <c r="Q4" s="18">
        <f>INDEX(propiedades_gases_EN673[],MATCH($Q$3&amp;" 10",propiedades_gases_EN673[llave],0),4)</f>
        <v>1.232</v>
      </c>
      <c r="R4" s="18" t="s">
        <v>31</v>
      </c>
      <c r="S4" s="18" t="s">
        <v>25</v>
      </c>
      <c r="T4" s="18">
        <f>(9.81*I6^3*ΔT_gas_defecto*ρgas^2)/(Tm_gas_defecto*μgas^2)</f>
        <v>0</v>
      </c>
      <c r="U4" s="18" t="s">
        <v>51</v>
      </c>
      <c r="V4" s="54"/>
    </row>
    <row r="5" spans="2:22" x14ac:dyDescent="0.25">
      <c r="B5" s="5"/>
      <c r="C5" s="21" t="s">
        <v>172</v>
      </c>
      <c r="D5" s="21" t="str">
        <f>IF(D3*D4=0,"",D3*D4)</f>
        <v/>
      </c>
      <c r="E5" s="21" t="s">
        <v>127</v>
      </c>
      <c r="F5" s="6"/>
      <c r="H5" s="5" t="str">
        <f>IF(tipo_vidriado&gt;1,"Vidrio 1","Vidrio")</f>
        <v>Vidrio</v>
      </c>
      <c r="I5" s="12">
        <f>Datos!$T$14/1000</f>
        <v>0</v>
      </c>
      <c r="J5" s="21">
        <v>1</v>
      </c>
      <c r="K5" s="21" t="e">
        <f>IF(I5=0,NA(),I5/J5)</f>
        <v>#N/A</v>
      </c>
      <c r="L5" s="21">
        <f>ε_vidrio_defecto</f>
        <v>0.83699999999999997</v>
      </c>
      <c r="M5" s="21" t="e">
        <f>MATCH(N5,Aux!$G$31:$G$35,0)</f>
        <v>#N/A</v>
      </c>
      <c r="N5" s="6">
        <f>Datos!X14</f>
        <v>0</v>
      </c>
      <c r="P5" s="20" t="s">
        <v>49</v>
      </c>
      <c r="Q5" s="18">
        <f>INDEX(propiedades_gases_EN673[],MATCH($Q$3&amp;" 10",propiedades_gases_EN673[llave],0),5)</f>
        <v>1.7609999999999999E-5</v>
      </c>
      <c r="R5" s="18" t="s">
        <v>246</v>
      </c>
      <c r="S5" s="18" t="s">
        <v>26</v>
      </c>
      <c r="T5" s="18">
        <f>μgas*cgas/λgas</f>
        <v>0.71117307692307696</v>
      </c>
      <c r="U5" s="18" t="s">
        <v>52</v>
      </c>
      <c r="V5" s="54"/>
    </row>
    <row r="6" spans="2:22" x14ac:dyDescent="0.25">
      <c r="B6" s="5"/>
      <c r="C6" s="21" t="s">
        <v>90</v>
      </c>
      <c r="D6" s="21">
        <f>Datos!AD6</f>
        <v>0</v>
      </c>
      <c r="F6" s="6"/>
      <c r="H6" s="5" t="s">
        <v>23</v>
      </c>
      <c r="I6" s="10">
        <f>Datos!$T$15/1000</f>
        <v>0</v>
      </c>
      <c r="K6" s="21" t="e">
        <f>IF(I6=0,NA(),VLOOKUP(IF(Cálculos!I6*1000&lt;6,6,Cálculos!I6*1000),Resistencia_aire_no_ventilado[],IF((M5&gt;1)+(M7&gt;1),7-MAX(M5,M7),6),1))</f>
        <v>#N/A</v>
      </c>
      <c r="L6" s="21" t="str">
        <f>IF(tipo_vidriado&lt;3,"Espaciador","Espaciador 1")</f>
        <v>Espaciador</v>
      </c>
      <c r="M6" s="21" t="e">
        <f>MATCH(N6,Aux!$G$38:$G$39,0)</f>
        <v>#N/A</v>
      </c>
      <c r="N6" s="6">
        <f>Datos!X15</f>
        <v>0</v>
      </c>
      <c r="P6" s="20" t="s">
        <v>22</v>
      </c>
      <c r="Q6" s="18">
        <f>INDEX(propiedades_gases_EN673[],MATCH($Q$3&amp;" 10",propiedades_gases_EN673[llave],0),6)</f>
        <v>2.496E-2</v>
      </c>
      <c r="R6" s="18" t="s">
        <v>245</v>
      </c>
      <c r="S6" s="18" t="s">
        <v>19</v>
      </c>
      <c r="T6" s="18" t="e">
        <f>Nu_gas*λgas/I6</f>
        <v>#DIV/0!</v>
      </c>
      <c r="U6" s="18" t="s">
        <v>120</v>
      </c>
      <c r="V6" s="54"/>
    </row>
    <row r="7" spans="2:22" x14ac:dyDescent="0.25">
      <c r="B7" s="5">
        <v>2</v>
      </c>
      <c r="C7" s="21" t="s">
        <v>141</v>
      </c>
      <c r="F7" s="6"/>
      <c r="H7" s="5" t="s">
        <v>7</v>
      </c>
      <c r="I7" s="12">
        <f>Datos!$T$16/1000</f>
        <v>0</v>
      </c>
      <c r="J7" s="21">
        <v>1</v>
      </c>
      <c r="K7" s="21" t="e">
        <f>IF(I7=0,NA(),I7/J7)</f>
        <v>#N/A</v>
      </c>
      <c r="L7" s="21">
        <f>ε_vidrio_defecto</f>
        <v>0.83699999999999997</v>
      </c>
      <c r="M7" s="21" t="e">
        <f>MATCH(N7,Aux!$G$31:$G$35,0)</f>
        <v>#N/A</v>
      </c>
      <c r="N7" s="6">
        <f>Datos!X16</f>
        <v>0</v>
      </c>
      <c r="P7" s="19" t="s">
        <v>28</v>
      </c>
      <c r="Q7" s="18">
        <f>INDEX(propiedades_gases_EN673[],MATCH($Q$3&amp;" 10",propiedades_gases_EN673[llave],0),7)</f>
        <v>1008</v>
      </c>
      <c r="R7" s="18" t="s">
        <v>244</v>
      </c>
      <c r="S7" s="18" t="s">
        <v>242</v>
      </c>
      <c r="T7" s="18">
        <f>4*σ*((1/L5+1/L7-1)^-1)*Tm_gas_defecto^3</f>
        <v>3.6995431749864141</v>
      </c>
      <c r="U7" s="18" t="s">
        <v>120</v>
      </c>
      <c r="V7" s="54"/>
    </row>
    <row r="8" spans="2:22" x14ac:dyDescent="0.25">
      <c r="B8" s="5"/>
      <c r="C8" s="21" t="s">
        <v>3</v>
      </c>
      <c r="D8" s="21" t="str">
        <f>IFERROR(CHOOSE(opción_sup_Ventana,Aw-Ag,(1-fm)*Aw),"")</f>
        <v/>
      </c>
      <c r="E8" s="21" t="s">
        <v>127</v>
      </c>
      <c r="F8" s="6"/>
      <c r="H8" s="5" t="s">
        <v>23</v>
      </c>
      <c r="I8" s="21">
        <f>Datos!$T$17/1000</f>
        <v>0</v>
      </c>
      <c r="K8" s="18"/>
      <c r="L8" s="21" t="s">
        <v>6</v>
      </c>
      <c r="M8" s="21">
        <v>1</v>
      </c>
      <c r="N8" s="6" t="e">
        <f>INDEX(Aux!$G$38:$G$39,$M$6)</f>
        <v>#N/A</v>
      </c>
      <c r="P8" s="19"/>
      <c r="Q8" s="18"/>
      <c r="R8" s="18"/>
      <c r="S8" s="18" t="s">
        <v>243</v>
      </c>
      <c r="T8" s="18" t="e">
        <f>T6+T7</f>
        <v>#DIV/0!</v>
      </c>
      <c r="U8" s="18" t="s">
        <v>120</v>
      </c>
      <c r="V8" s="54"/>
    </row>
    <row r="9" spans="2:22" ht="15.75" thickBot="1" x14ac:dyDescent="0.3">
      <c r="B9" s="5"/>
      <c r="C9" s="21" t="s">
        <v>1</v>
      </c>
      <c r="D9" s="21" t="str">
        <f>IFERROR(CHOOSE(opción_sup_Ventana,Datos!$T$7,fm*Aw),"")</f>
        <v/>
      </c>
      <c r="E9" s="21" t="s">
        <v>127</v>
      </c>
      <c r="F9" s="6"/>
      <c r="H9" s="5" t="s">
        <v>114</v>
      </c>
      <c r="I9" s="12">
        <f>Datos!$T$18/1000</f>
        <v>0</v>
      </c>
      <c r="J9" s="21">
        <v>1</v>
      </c>
      <c r="K9" s="21" t="e">
        <f>IF(I9=0,NA(),I9/J9)</f>
        <v>#N/A</v>
      </c>
      <c r="M9" s="21" t="e">
        <f>MATCH(N9,Aux!$G$31:$G$35,0)</f>
        <v>#N/A</v>
      </c>
      <c r="N9" s="6">
        <f>Datos!X18</f>
        <v>0</v>
      </c>
      <c r="P9" s="38"/>
      <c r="Q9" s="39"/>
      <c r="R9" s="39"/>
      <c r="S9" s="39"/>
      <c r="T9" s="39"/>
      <c r="U9" s="39"/>
      <c r="V9" s="55"/>
    </row>
    <row r="10" spans="2:22" ht="15.75" thickBot="1" x14ac:dyDescent="0.3">
      <c r="B10" s="7"/>
      <c r="C10" s="8" t="s">
        <v>236</v>
      </c>
      <c r="D10" s="91" t="str">
        <f>IFERROR(ROUND(INDEX(casos_ventana[junta apertura],caso),1),"")</f>
        <v/>
      </c>
      <c r="E10" s="8" t="s">
        <v>30</v>
      </c>
      <c r="F10" s="9"/>
      <c r="H10" s="7"/>
      <c r="I10" s="8"/>
      <c r="J10" s="8"/>
      <c r="K10" s="8"/>
      <c r="L10" s="8"/>
      <c r="M10" s="8"/>
      <c r="N10" s="9"/>
    </row>
    <row r="11" spans="2:22" ht="15.75" thickBot="1" x14ac:dyDescent="0.3"/>
    <row r="12" spans="2:22" ht="15.75" thickBot="1" x14ac:dyDescent="0.3">
      <c r="B12" s="61" t="s">
        <v>75</v>
      </c>
      <c r="C12" s="64" t="s">
        <v>4</v>
      </c>
      <c r="D12" s="64" t="str">
        <f>IFERROR(CHOOSE(tipo_categoría_marco,C19,C26,C30),"")</f>
        <v/>
      </c>
      <c r="E12" s="64" t="s">
        <v>181</v>
      </c>
      <c r="F12" s="65"/>
      <c r="H12" s="61" t="s">
        <v>177</v>
      </c>
      <c r="I12" s="64" t="s">
        <v>227</v>
      </c>
      <c r="J12" s="64" t="str">
        <f>IFERROR(IF(tipo_vidriado=0,"",IF(tipo_vidriado&lt;2,0,CHOOSE(tipo_espaciador_1,INDEX(PSIg_por_defecto[],MATCH($D$13,PSIg_por_defecto[tipo marco],0),2),INDEX(PSIg_mejorado[],MATCH($D$13,PSIg_mejorado[tipo marco],0),2)))),"")</f>
        <v/>
      </c>
      <c r="K12" s="64" t="s">
        <v>237</v>
      </c>
      <c r="L12" s="62"/>
      <c r="M12" s="62"/>
      <c r="N12" s="63"/>
    </row>
    <row r="13" spans="2:22" x14ac:dyDescent="0.25">
      <c r="B13" s="5" t="s">
        <v>101</v>
      </c>
      <c r="C13" s="21">
        <f>IF($D$13=0,0,MATCH($D$13,Aux!C26:C29,0))</f>
        <v>0</v>
      </c>
      <c r="D13" s="21">
        <f>Datos!$H$15</f>
        <v>0</v>
      </c>
      <c r="F13" s="6"/>
      <c r="H13" s="99" t="s">
        <v>213</v>
      </c>
      <c r="I13" s="100">
        <f>IFERROR(MATCH(Cálculos!$J$13,Aux!$H$76:$H$79,0),1)</f>
        <v>1</v>
      </c>
      <c r="J13" s="100">
        <f>Datos!C13</f>
        <v>0</v>
      </c>
      <c r="K13" s="100"/>
      <c r="L13" s="100"/>
      <c r="M13" s="100" t="s">
        <v>226</v>
      </c>
      <c r="N13" s="101"/>
    </row>
    <row r="14" spans="2:22" x14ac:dyDescent="0.25">
      <c r="B14" s="5" t="s">
        <v>111</v>
      </c>
      <c r="C14" s="21">
        <f>IFERROR(VLOOKUP($D$13,Aux!$C$26:$E$29,2),0)</f>
        <v>0</v>
      </c>
      <c r="D14" s="21" t="e">
        <f>VLOOKUP($D$13,Aux!$C$26:$E$29,3)</f>
        <v>#N/A</v>
      </c>
      <c r="F14" s="6"/>
      <c r="H14" s="5" t="s">
        <v>102</v>
      </c>
      <c r="I14" s="21">
        <f>IFERROR(MATCH(Cálculos!$J$14,Aux!G42:G45,0),1)</f>
        <v>1</v>
      </c>
      <c r="J14" s="21">
        <f>Datos!H14</f>
        <v>0</v>
      </c>
      <c r="L14" s="21">
        <v>1</v>
      </c>
      <c r="M14" s="21" t="e" cm="1">
        <f t="array" ref="M14">INDEX(Aux!$H$76:$K$79,MATCH($J$13,Aux!$H$76:$H$79,0),L14+1)</f>
        <v>#N/A</v>
      </c>
      <c r="N14" s="6"/>
    </row>
    <row r="15" spans="2:22" x14ac:dyDescent="0.25">
      <c r="B15" s="5"/>
      <c r="F15" s="6"/>
      <c r="H15" s="5" t="s">
        <v>214</v>
      </c>
      <c r="I15" s="21">
        <f>IF(Configuración=1,1,IF((Configuración=2)*(tipo_cierre=1),2,IF((Configuración=2)*(tipo_cierre&gt;2),3,IF((Configuración=3)*(tipo_cierre=2),4,IF((Configuración=3)*(tipo_cierre&gt;2),5,IF((Configuración=4)*(tipo_cierre=1),6,IF((Configuración=4)*(tipo_cierre&gt;1),7,"")))))))</f>
        <v>1</v>
      </c>
      <c r="L15" s="21">
        <v>2</v>
      </c>
      <c r="M15" s="21" t="e" cm="1">
        <f t="array" ref="M15">INDEX(Aux!$H$76:$K$79,MATCH($J$13,Aux!$H$76:$H$79,0),L15+1)</f>
        <v>#N/A</v>
      </c>
      <c r="N15" s="6"/>
      <c r="P15" s="17"/>
    </row>
    <row r="16" spans="2:22" x14ac:dyDescent="0.25">
      <c r="B16" s="5" t="s">
        <v>76</v>
      </c>
      <c r="F16" s="6"/>
      <c r="H16" s="5"/>
      <c r="L16" s="21">
        <v>3</v>
      </c>
      <c r="M16" s="21" t="e" cm="1">
        <f t="array" ref="M16">INDEX(Aux!$H$76:$K$79,MATCH($J$13,Aux!$H$76:$H$79,0),L16+1)</f>
        <v>#N/A</v>
      </c>
      <c r="N16" s="6"/>
      <c r="P16" s="17"/>
    </row>
    <row r="17" spans="2:16" x14ac:dyDescent="0.25">
      <c r="B17" s="5" t="s">
        <v>122</v>
      </c>
      <c r="F17" s="6"/>
      <c r="H17" s="11" t="s">
        <v>215</v>
      </c>
      <c r="I17" s="21">
        <f>IF(ISBLANK(Datos!$K$12),proporción_defecto,Datos!$K$12)</f>
        <v>0.5</v>
      </c>
      <c r="J17" s="37" t="s">
        <v>180</v>
      </c>
      <c r="K17" s="10" t="e">
        <f>INDEX(casos_ventana[e],caso)</f>
        <v>#VALUE!</v>
      </c>
      <c r="L17" s="16">
        <v>4</v>
      </c>
      <c r="M17" s="21" t="e" cm="1">
        <f t="array" ref="M17">INDEX(Aux!$H$76:$K$79,MATCH($J$13,Aux!$H$76:$H$79,0),L17+1)</f>
        <v>#N/A</v>
      </c>
      <c r="N17" s="6"/>
      <c r="P17" s="17"/>
    </row>
    <row r="18" spans="2:16" x14ac:dyDescent="0.25">
      <c r="B18" s="5" t="s">
        <v>71</v>
      </c>
      <c r="C18" s="21">
        <f>IF(tipo_categoría_marco=1,IF(ISBLANK(Datos!$J$16),E18,Datos!$J$16),E18)</f>
        <v>50</v>
      </c>
      <c r="E18" s="21">
        <v>50</v>
      </c>
      <c r="F18" s="6"/>
      <c r="H18" s="5" t="s">
        <v>103</v>
      </c>
      <c r="I18" s="10" t="e">
        <f>INDEX(casos_ventana[w],caso)</f>
        <v>#VALUE!</v>
      </c>
      <c r="J18" s="21" t="s">
        <v>104</v>
      </c>
      <c r="K18" s="10" t="e">
        <f>INDEX(casos_ventana[h],caso)</f>
        <v>#VALUE!</v>
      </c>
      <c r="L18" s="16">
        <v>5</v>
      </c>
      <c r="M18" s="21" t="e" cm="1">
        <f t="array" ref="M18">INDEX(Aux!$H$76:$K$79,MATCH($J$13,Aux!$H$76:$H$79,0),L18+1)</f>
        <v>#N/A</v>
      </c>
      <c r="N18" s="6"/>
      <c r="P18" s="17"/>
    </row>
    <row r="19" spans="2:16" x14ac:dyDescent="0.25">
      <c r="B19" s="5" t="s">
        <v>201</v>
      </c>
      <c r="C19" s="21">
        <f>ROUND(CHOOSE(MATCH($B$17,Aux!$B$33:$B$34,0),0.00004*df^2-0.0189*df+3.2333,0.00004*df^2-0.0165*df+2.7605),1)</f>
        <v>2.4</v>
      </c>
      <c r="D19" s="21" t="s">
        <v>120</v>
      </c>
      <c r="F19" s="6"/>
      <c r="H19" s="11" t="s">
        <v>163</v>
      </c>
      <c r="I19" s="10" t="str">
        <f>IFERROR(INDEX(casos_ventana[lg calc],caso),"")</f>
        <v/>
      </c>
      <c r="J19" s="21" t="s">
        <v>5</v>
      </c>
      <c r="K19" s="10" t="str">
        <f>IFERROR(IF(ISBLANK(Datos!X20),lg_calc,Datos!$X$20),"")</f>
        <v/>
      </c>
      <c r="N19" s="6"/>
      <c r="P19" s="17"/>
    </row>
    <row r="20" spans="2:16" x14ac:dyDescent="0.25">
      <c r="B20" s="5"/>
      <c r="F20" s="6"/>
      <c r="H20" s="5"/>
      <c r="N20" s="6"/>
      <c r="P20" s="17"/>
    </row>
    <row r="21" spans="2:16" x14ac:dyDescent="0.25">
      <c r="B21" s="5" t="s">
        <v>85</v>
      </c>
      <c r="F21" s="6"/>
      <c r="H21" s="88" t="s">
        <v>214</v>
      </c>
      <c r="I21" s="84" t="s">
        <v>71</v>
      </c>
      <c r="J21" s="85" t="s">
        <v>223</v>
      </c>
      <c r="K21" s="85" t="s">
        <v>224</v>
      </c>
      <c r="L21" s="84" t="s">
        <v>163</v>
      </c>
      <c r="M21" s="84" t="s">
        <v>225</v>
      </c>
      <c r="N21" s="89" t="s">
        <v>228</v>
      </c>
      <c r="P21" s="17"/>
    </row>
    <row r="22" spans="2:16" x14ac:dyDescent="0.25">
      <c r="B22" s="5" t="s">
        <v>86</v>
      </c>
      <c r="C22" s="21">
        <f>IF(ISBLANK(Datos!$J$19),Aux!$N$29,Datos!$J$19)</f>
        <v>0.85</v>
      </c>
      <c r="F22" s="6"/>
      <c r="H22" s="11">
        <v>1</v>
      </c>
      <c r="I22" s="86" t="e">
        <f>(ancho+alto)/8-SQRT((ancho+alto)^2-4*Af)/8</f>
        <v>#VALUE!</v>
      </c>
      <c r="J22" s="87" t="e">
        <f>ancho-4*casos_ventana[[#This Row],[e]]</f>
        <v>#VALUE!</v>
      </c>
      <c r="K22" s="87" t="e">
        <f>alto-4*casos_ventana[[#This Row],[e]]</f>
        <v>#VALUE!</v>
      </c>
      <c r="L22" s="87" t="e">
        <f>2*casos_ventana[[#This Row],[w]]+2*casos_ventana[[#This Row],[h]]</f>
        <v>#VALUE!</v>
      </c>
      <c r="M22" s="87" t="e">
        <f>2*(casos_ventana[[#This Row],[w]]+casos_ventana[[#This Row],[h]]+4*casos_ventana[[#This Row],[e]])</f>
        <v>#VALUE!</v>
      </c>
      <c r="N22" s="90" t="s">
        <v>235</v>
      </c>
    </row>
    <row r="23" spans="2:16" x14ac:dyDescent="0.25">
      <c r="B23" s="5" t="s">
        <v>87</v>
      </c>
      <c r="C23" s="21">
        <f>IF(ISBLANK(Datos!$J$20),Aux!$O$29,Datos!$J$20)</f>
        <v>0.85</v>
      </c>
      <c r="F23" s="6"/>
      <c r="H23" s="11">
        <v>2</v>
      </c>
      <c r="I23" s="86" t="e">
        <f>(ancho*(alfa+1)+2*alto)/14-SQRT((ancho*(alfa+1)+2*alto)^2-14*Af)/14</f>
        <v>#VALUE!</v>
      </c>
      <c r="J23" s="87" t="e">
        <f>ancho*alfa-3*casos_ventana[[#This Row],[e]]</f>
        <v>#VALUE!</v>
      </c>
      <c r="K23" s="87" t="e">
        <f>alto-4*casos_ventana[[#This Row],[e]]</f>
        <v>#VALUE!</v>
      </c>
      <c r="L23" s="87" t="e">
        <f>2*(casos_ventana[[#This Row],[w]]+casos_ventana[[#This Row],[h]])+2*(casos_ventana[[#This Row],[w]]+casos_ventana[[#This Row],[h]]+4*casos_ventana[[#This Row],[e]])</f>
        <v>#VALUE!</v>
      </c>
      <c r="M23" s="87" t="e">
        <f>2*(casos_ventana[[#This Row],[w]]+casos_ventana[[#This Row],[h]]+4*casos_ventana[[#This Row],[e]])</f>
        <v>#VALUE!</v>
      </c>
      <c r="N23" s="90" t="s">
        <v>234</v>
      </c>
    </row>
    <row r="24" spans="2:16" x14ac:dyDescent="0.25">
      <c r="B24" s="11" t="s">
        <v>117</v>
      </c>
      <c r="C24" s="21">
        <f>IF(tipo_categoría_marco=2,IF(ISBLANK(Datos!$J$16),E24,Datos!$J$16),E24)</f>
        <v>10</v>
      </c>
      <c r="D24" s="21" t="s">
        <v>72</v>
      </c>
      <c r="E24" s="21">
        <v>10</v>
      </c>
      <c r="F24" s="6"/>
      <c r="H24" s="11">
        <v>3</v>
      </c>
      <c r="I24" s="87" t="e">
        <f>(ancho*(alfa+1)+3*alto)/20-SQRT((ancho*(alfa+1)+3*alto)^2-20*Af)/20</f>
        <v>#VALUE!</v>
      </c>
      <c r="J24" s="87" t="e">
        <f>ancho*alfa-4*casos_ventana[[#This Row],[e]]</f>
        <v>#VALUE!</v>
      </c>
      <c r="K24" s="87" t="e">
        <f>alto-4*casos_ventana[[#This Row],[e]]</f>
        <v>#VALUE!</v>
      </c>
      <c r="L24" s="87" t="e">
        <f>2*(casos_ventana[[#This Row],[w]]+casos_ventana[[#This Row],[h]])+2*(casos_ventana[[#This Row],[w]]+4*casos_ventana[[#This Row],[e]]+casos_ventana[[#This Row],[h]])</f>
        <v>#VALUE!</v>
      </c>
      <c r="M24" s="87" t="e">
        <f>2*(casos_ventana[[#This Row],[w]]+casos_ventana[[#This Row],[h]]+4*casos_ventana[[#This Row],[e]])</f>
        <v>#VALUE!</v>
      </c>
      <c r="N24" s="90" t="s">
        <v>229</v>
      </c>
    </row>
    <row r="25" spans="2:16" x14ac:dyDescent="0.25">
      <c r="B25" s="11" t="s">
        <v>88</v>
      </c>
      <c r="C25" s="21">
        <f>IF((tipo_categoría_marco=2)*(tipo_marco=2),-0.00000007*d^4+0.00001*d^3-0.0006*d^2+0.0178*d+0.0000000000006,0)</f>
        <v>0</v>
      </c>
      <c r="D25" s="21" t="s">
        <v>119</v>
      </c>
      <c r="F25" s="6"/>
      <c r="H25" s="11">
        <v>4</v>
      </c>
      <c r="I25" s="87" t="e">
        <f>(alto*(alfa+1)+2*ancho)/14-SQRT((alto*(alfa+1)+2*ancho)^2-14*Af)/14</f>
        <v>#VALUE!</v>
      </c>
      <c r="J25" s="87" t="e">
        <f>ancho-4*casos_ventana[[#This Row],[e]]</f>
        <v>#VALUE!</v>
      </c>
      <c r="K25" s="87" t="e">
        <f>alto*alfa-3*casos_ventana[[#This Row],[e]]</f>
        <v>#VALUE!</v>
      </c>
      <c r="L25" s="87" t="e">
        <f>2*(casos_ventana[[#This Row],[w]]+casos_ventana[[#This Row],[h]])+2*(casos_ventana[[#This Row],[w]]+4*casos_ventana[[#This Row],[e]]+casos_ventana[[#This Row],[h]])</f>
        <v>#VALUE!</v>
      </c>
      <c r="M25" s="87" t="e">
        <f>2*(casos_ventana[[#This Row],[w]]+casos_ventana[[#This Row],[h]]+4*casos_ventana[[#This Row],[e]])</f>
        <v>#VALUE!</v>
      </c>
      <c r="N25" s="90" t="s">
        <v>230</v>
      </c>
    </row>
    <row r="26" spans="2:16" x14ac:dyDescent="0.25">
      <c r="B26" s="5" t="s">
        <v>4</v>
      </c>
      <c r="C26" s="21">
        <f>IF((tipo_marco=3)*$E$26,Uf_Metal_sin_RPT,ROUND(1/(Rsi*C22+Rf_metálico+Rse*C23),1))</f>
        <v>6.9</v>
      </c>
      <c r="D26" s="21" t="s">
        <v>120</v>
      </c>
      <c r="E26" s="21" t="b">
        <v>0</v>
      </c>
      <c r="F26" s="6"/>
      <c r="H26" s="11">
        <v>5</v>
      </c>
      <c r="I26" s="87" t="e">
        <f>(alto*(alfa+1)+3*ancho)/20-SQRT((alto*(alfa+1)+3*ancho)^2-20*Af)/20</f>
        <v>#VALUE!</v>
      </c>
      <c r="J26" s="87" t="e">
        <f>ancho-4*casos_ventana[[#This Row],[e]]</f>
        <v>#VALUE!</v>
      </c>
      <c r="K26" s="87" t="e">
        <f>alto*alfa-4*casos_ventana[[#This Row],[e]]</f>
        <v>#VALUE!</v>
      </c>
      <c r="L26" s="87" t="e">
        <f>2*(casos_ventana[[#This Row],[w]]+casos_ventana[[#This Row],[h]])+2*(casos_ventana[[#This Row],[w]]+4*casos_ventana[[#This Row],[e]]+casos_ventana[[#This Row],[h]])</f>
        <v>#VALUE!</v>
      </c>
      <c r="M26" s="87" t="e">
        <f>2*(casos_ventana[[#This Row],[w]]+casos_ventana[[#This Row],[h]]+4*casos_ventana[[#This Row],[e]])</f>
        <v>#VALUE!</v>
      </c>
      <c r="N26" s="90" t="s">
        <v>231</v>
      </c>
    </row>
    <row r="27" spans="2:16" x14ac:dyDescent="0.25">
      <c r="B27" s="5"/>
      <c r="F27" s="6"/>
      <c r="H27" s="11">
        <v>6</v>
      </c>
      <c r="I27" s="87" t="e">
        <f>(4*ancho+5*alto)/40-SQRT((4*ancho+5*alto)^2-80*Af)/40</f>
        <v>#VALUE!</v>
      </c>
      <c r="J27" s="87" t="e">
        <f>ancho-5*casos_ventana[[#This Row],[e]]</f>
        <v>#VALUE!</v>
      </c>
      <c r="K27" s="87" t="e">
        <f>alto-4*casos_ventana[[#This Row],[e]]</f>
        <v>#VALUE!</v>
      </c>
      <c r="L27" s="87" t="e">
        <f>2*casos_ventana[[#This Row],[w]]+3*casos_ventana[[#This Row],[h]]</f>
        <v>#VALUE!</v>
      </c>
      <c r="M27" s="87" t="e">
        <f>2*(casos_ventana[[#This Row],[w]]+casos_ventana[[#This Row],[h]]+5*casos_ventana[[#This Row],[e]])+casos_ventana[[#This Row],[h]]</f>
        <v>#VALUE!</v>
      </c>
      <c r="N27" s="90" t="s">
        <v>232</v>
      </c>
    </row>
    <row r="28" spans="2:16" x14ac:dyDescent="0.25">
      <c r="B28" s="5" t="s">
        <v>89</v>
      </c>
      <c r="F28" s="6"/>
      <c r="H28" s="11">
        <v>7</v>
      </c>
      <c r="I28" s="87" t="e">
        <f>(ancho+2*alto)/16-SQRT((ancho+2*alto)^2-8*Af)/16</f>
        <v>#VALUE!</v>
      </c>
      <c r="J28" s="87" t="e">
        <f>ancho-8*casos_ventana[[#This Row],[e]]</f>
        <v>#VALUE!</v>
      </c>
      <c r="K28" s="87" t="e">
        <f>alto-4*casos_ventana[[#This Row],[e]]</f>
        <v>#VALUE!</v>
      </c>
      <c r="L28" s="87" t="e">
        <f>2*casos_ventana[[#This Row],[w]]+4*casos_ventana[[#This Row],[h]]</f>
        <v>#VALUE!</v>
      </c>
      <c r="M28" s="87" t="e">
        <f>2*(casos_ventana[[#This Row],[w]]+2*casos_ventana[[#This Row],[e]])+4*(casos_ventana[[#This Row],[h]]+2*casos_ventana[[#This Row],[e]])</f>
        <v>#VALUE!</v>
      </c>
      <c r="N28" s="90" t="s">
        <v>233</v>
      </c>
    </row>
    <row r="29" spans="2:16" x14ac:dyDescent="0.25">
      <c r="B29" s="11" t="s">
        <v>115</v>
      </c>
      <c r="C29" s="37" t="s">
        <v>67</v>
      </c>
      <c r="F29" s="6"/>
      <c r="H29" s="5"/>
      <c r="N29" s="6"/>
    </row>
    <row r="30" spans="2:16" x14ac:dyDescent="0.25">
      <c r="B30" s="5" t="s">
        <v>4</v>
      </c>
      <c r="C30" s="21">
        <f>VLOOKUP(C29,Uf_plástico[],2,FALSE)</f>
        <v>2.2000000000000002</v>
      </c>
      <c r="D30" s="21" t="s">
        <v>120</v>
      </c>
      <c r="F30" s="6"/>
      <c r="H30" s="5"/>
      <c r="N30" s="6"/>
    </row>
    <row r="31" spans="2:16" x14ac:dyDescent="0.25">
      <c r="B31" s="5"/>
      <c r="F31" s="6"/>
      <c r="H31" s="5"/>
      <c r="N31" s="6"/>
    </row>
    <row r="32" spans="2:16" ht="15.75" thickBot="1" x14ac:dyDescent="0.3">
      <c r="B32" s="11" t="s">
        <v>176</v>
      </c>
      <c r="D32" s="21" t="str">
        <f>IFERROR(CHOOSE(tipo_marco,"Profundidad marco:","Distancia RPT:","",""),"")</f>
        <v/>
      </c>
      <c r="F32" s="6"/>
      <c r="H32" s="7"/>
      <c r="I32" s="8"/>
      <c r="J32" s="8"/>
      <c r="K32" s="8"/>
      <c r="L32" s="8"/>
      <c r="M32" s="8"/>
      <c r="N32" s="9"/>
    </row>
    <row r="33" spans="2:14" ht="15.75" thickBot="1" x14ac:dyDescent="0.3">
      <c r="B33" s="7"/>
      <c r="C33" s="8"/>
      <c r="D33" s="8"/>
      <c r="E33" s="8"/>
      <c r="F33" s="9"/>
    </row>
    <row r="34" spans="2:14" ht="15.75" thickBot="1" x14ac:dyDescent="0.3"/>
    <row r="35" spans="2:14" x14ac:dyDescent="0.25">
      <c r="H35" s="61" t="s">
        <v>157</v>
      </c>
      <c r="I35" s="62"/>
      <c r="J35" s="62"/>
      <c r="K35" s="62"/>
      <c r="L35" s="62"/>
      <c r="M35" s="68"/>
      <c r="N35" s="69"/>
    </row>
    <row r="36" spans="2:14" x14ac:dyDescent="0.25">
      <c r="H36" s="5"/>
      <c r="I36" s="21" t="s">
        <v>197</v>
      </c>
      <c r="J36" s="92" t="str">
        <f>IFERROR(ROUND((Ag*Ug+Af*Uf+lg*Ψg)/(Ag+Af),1),"")</f>
        <v/>
      </c>
      <c r="N36" s="6"/>
    </row>
    <row r="37" spans="2:14" ht="15" customHeight="1" x14ac:dyDescent="0.25">
      <c r="H37" s="5"/>
      <c r="I37" s="21" t="s">
        <v>0</v>
      </c>
      <c r="J37" s="70" t="str">
        <f>IFERROR(IF($L$37,Aux!$Q$29,ROUND((Ag*Ug+Af*Uf+lg*Ψg)/(Ag+Af),1)),"")</f>
        <v/>
      </c>
      <c r="K37" s="21" t="s">
        <v>120</v>
      </c>
      <c r="L37" s="21" t="e">
        <f>IF((ROUND((Ag*Ug+Af*Uf+lg*Ψg)/(Ag+Af),1)&gt;5.8),TRUE,FALSE)</f>
        <v>#VALUE!</v>
      </c>
      <c r="N37" s="6"/>
    </row>
    <row r="38" spans="2:14" x14ac:dyDescent="0.25">
      <c r="H38" s="5"/>
      <c r="I38" s="21" t="s">
        <v>175</v>
      </c>
      <c r="N38" s="6"/>
    </row>
    <row r="39" spans="2:14" x14ac:dyDescent="0.25">
      <c r="H39" s="5" t="s">
        <v>173</v>
      </c>
      <c r="I39" s="21">
        <f>IFERROR(ROUND((Uf*Af)/(Ag*Ug+Af*Uf+lg*Ψg),2),0)</f>
        <v>0</v>
      </c>
      <c r="N39" s="6"/>
    </row>
    <row r="40" spans="2:14" x14ac:dyDescent="0.25">
      <c r="H40" s="5" t="s">
        <v>174</v>
      </c>
      <c r="I40" s="21">
        <f>IFERROR(ROUND((Ug*Ag)/(Ag*Ug+Af*Uf+lg*Ψg),2),0)</f>
        <v>0</v>
      </c>
      <c r="N40" s="6"/>
    </row>
    <row r="41" spans="2:14" x14ac:dyDescent="0.25">
      <c r="H41" s="5" t="s">
        <v>6</v>
      </c>
      <c r="I41" s="21">
        <f>IFERROR(ROUND((Ψg*lg)/(Ag*Ug+Af*Uf+lg*Ψg),2),0)</f>
        <v>0</v>
      </c>
      <c r="N41" s="6"/>
    </row>
    <row r="42" spans="2:14" ht="15.75" thickBot="1" x14ac:dyDescent="0.3">
      <c r="H42" s="7"/>
      <c r="I42" s="8"/>
      <c r="J42" s="8"/>
      <c r="K42" s="8"/>
      <c r="L42" s="8"/>
      <c r="M42" s="8"/>
      <c r="N42" s="9"/>
    </row>
    <row r="44" spans="2:14" x14ac:dyDescent="0.25">
      <c r="H44" s="21" t="str">
        <f>IFERROR(txt_transmitancia_marco&amp;IF($L$37,CHAR(10)&amp;Aux!G63,"")&amp;CHAR(10)&amp;IF(tipo_vidriado&gt;1,txt_R_cámara_aire,""),"")</f>
        <v/>
      </c>
    </row>
  </sheetData>
  <pageMargins left="0.7" right="0.7" top="0.75" bottom="0.75" header="0.3" footer="0.3"/>
  <pageSetup paperSize="9" orientation="portrait" r:id="rId1"/>
  <tableParts count="1">
    <tablePart r:id="rId2"/>
  </tableParts>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200-000000000000}">
          <x14:formula1>
            <xm:f>Aux!$B$33:$B$34</xm:f>
          </x14:formula1>
          <xm:sqref>B17</xm:sqref>
        </x14:dataValidation>
        <x14:dataValidation type="list" allowBlank="1" showInputMessage="1" showErrorMessage="1" xr:uid="{00000000-0002-0000-0200-000001000000}">
          <x14:formula1>
            <xm:f>Aux!$B$25:$B$29</xm:f>
          </x14:formula1>
          <xm:sqref>Q3</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Hoja4"/>
  <dimension ref="A1"/>
  <sheetViews>
    <sheetView workbookViewId="0"/>
  </sheetViews>
  <sheetFormatPr baseColWidth="10" defaultRowHeight="15" x14ac:dyDescent="0.25"/>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Hoja5"/>
  <dimension ref="B1:AY80"/>
  <sheetViews>
    <sheetView topLeftCell="C64" workbookViewId="0">
      <selection activeCell="G81" sqref="G81"/>
    </sheetView>
  </sheetViews>
  <sheetFormatPr baseColWidth="10" defaultRowHeight="15" x14ac:dyDescent="0.25"/>
  <cols>
    <col min="2" max="2" width="12.5703125" customWidth="1"/>
    <col min="3" max="3" width="19" customWidth="1"/>
    <col min="4" max="4" width="22.5703125" customWidth="1"/>
    <col min="5" max="5" width="20.7109375" customWidth="1"/>
    <col min="6" max="6" width="15.5703125" customWidth="1"/>
    <col min="7" max="7" width="16.7109375" customWidth="1"/>
    <col min="8" max="8" width="17" bestFit="1" customWidth="1"/>
  </cols>
  <sheetData>
    <row r="1" spans="2:13" x14ac:dyDescent="0.25">
      <c r="B1">
        <v>1</v>
      </c>
      <c r="C1">
        <v>2</v>
      </c>
      <c r="D1">
        <v>3</v>
      </c>
      <c r="E1">
        <v>4</v>
      </c>
      <c r="F1">
        <v>5</v>
      </c>
      <c r="G1">
        <v>6</v>
      </c>
      <c r="H1">
        <v>7</v>
      </c>
    </row>
    <row r="2" spans="2:13" x14ac:dyDescent="0.25">
      <c r="B2" t="s">
        <v>29</v>
      </c>
      <c r="C2" t="s">
        <v>18</v>
      </c>
      <c r="D2" t="s">
        <v>17</v>
      </c>
      <c r="E2" t="s">
        <v>13</v>
      </c>
      <c r="F2" t="s">
        <v>14</v>
      </c>
      <c r="G2" t="s">
        <v>15</v>
      </c>
      <c r="H2" t="s">
        <v>16</v>
      </c>
    </row>
    <row r="3" spans="2:13" x14ac:dyDescent="0.25">
      <c r="B3" s="3" t="str">
        <f>propiedades_gases_EN673[[#This Row],[gas]]&amp;" "&amp;propiedades_gases_EN673[[#This Row],[temperatura]]</f>
        <v>Aire -10</v>
      </c>
      <c r="C3" t="s">
        <v>8</v>
      </c>
      <c r="D3">
        <v>-10</v>
      </c>
      <c r="E3" s="2">
        <v>1.3260000000000001</v>
      </c>
      <c r="F3" s="3">
        <v>1.6609999999999999E-5</v>
      </c>
      <c r="G3" s="3">
        <v>2.3359999999999999E-2</v>
      </c>
      <c r="H3" s="3">
        <v>1008</v>
      </c>
    </row>
    <row r="4" spans="2:13" x14ac:dyDescent="0.25">
      <c r="B4" s="3" t="str">
        <f>propiedades_gases_EN673[[#This Row],[gas]]&amp;" "&amp;propiedades_gases_EN673[[#This Row],[temperatura]]</f>
        <v>Aire 0</v>
      </c>
      <c r="C4" t="s">
        <v>8</v>
      </c>
      <c r="D4">
        <v>0</v>
      </c>
      <c r="E4" s="2">
        <v>1.2769999999999999</v>
      </c>
      <c r="F4" s="3">
        <v>1.7110000000000001E-5</v>
      </c>
      <c r="G4" s="3">
        <v>2.4160000000000001E-2</v>
      </c>
      <c r="H4" s="3">
        <v>1008</v>
      </c>
      <c r="J4" s="4" t="s">
        <v>34</v>
      </c>
      <c r="K4">
        <v>0.83699999999999997</v>
      </c>
      <c r="M4" t="s">
        <v>48</v>
      </c>
    </row>
    <row r="5" spans="2:13" x14ac:dyDescent="0.25">
      <c r="B5" s="3" t="str">
        <f>propiedades_gases_EN673[[#This Row],[gas]]&amp;" "&amp;propiedades_gases_EN673[[#This Row],[temperatura]]</f>
        <v>Aire 10</v>
      </c>
      <c r="C5" t="s">
        <v>8</v>
      </c>
      <c r="D5">
        <v>10</v>
      </c>
      <c r="E5" s="2">
        <v>1.232</v>
      </c>
      <c r="F5" s="3">
        <v>1.7609999999999999E-5</v>
      </c>
      <c r="G5" s="3">
        <v>2.496E-2</v>
      </c>
      <c r="H5" s="3">
        <v>1008</v>
      </c>
      <c r="J5" s="4" t="s">
        <v>32</v>
      </c>
      <c r="K5">
        <v>15</v>
      </c>
      <c r="L5" t="s">
        <v>39</v>
      </c>
      <c r="M5" t="s">
        <v>42</v>
      </c>
    </row>
    <row r="6" spans="2:13" x14ac:dyDescent="0.25">
      <c r="B6" s="3" t="str">
        <f>propiedades_gases_EN673[[#This Row],[gas]]&amp;" "&amp;propiedades_gases_EN673[[#This Row],[temperatura]]</f>
        <v>Aire 20</v>
      </c>
      <c r="C6" t="s">
        <v>8</v>
      </c>
      <c r="D6">
        <v>20</v>
      </c>
      <c r="E6" s="2">
        <v>1.1890000000000001</v>
      </c>
      <c r="F6" s="3">
        <v>1.8110000000000001E-5</v>
      </c>
      <c r="G6" s="3">
        <v>2.5760000000000002E-2</v>
      </c>
      <c r="H6" s="3">
        <v>1008</v>
      </c>
      <c r="J6" t="s">
        <v>33</v>
      </c>
      <c r="K6">
        <v>283</v>
      </c>
      <c r="L6" t="s">
        <v>39</v>
      </c>
      <c r="M6" t="s">
        <v>43</v>
      </c>
    </row>
    <row r="7" spans="2:13" x14ac:dyDescent="0.25">
      <c r="B7" s="3" t="str">
        <f>propiedades_gases_EN673[[#This Row],[gas]]&amp;" "&amp;propiedades_gases_EN673[[#This Row],[temperatura]]</f>
        <v>Argón -10</v>
      </c>
      <c r="C7" t="s">
        <v>9</v>
      </c>
      <c r="D7">
        <v>-10</v>
      </c>
      <c r="E7" s="2">
        <v>1.829</v>
      </c>
      <c r="F7" s="3">
        <v>2.0380000000000001E-5</v>
      </c>
      <c r="G7" s="3">
        <v>1.584E-2</v>
      </c>
      <c r="H7" s="3">
        <v>519</v>
      </c>
      <c r="J7" s="4" t="s">
        <v>35</v>
      </c>
      <c r="K7" s="1">
        <v>5.6699999999999998E-8</v>
      </c>
      <c r="L7" t="s">
        <v>40</v>
      </c>
      <c r="M7" t="s">
        <v>44</v>
      </c>
    </row>
    <row r="8" spans="2:13" x14ac:dyDescent="0.25">
      <c r="B8" s="3" t="str">
        <f>propiedades_gases_EN673[[#This Row],[gas]]&amp;" "&amp;propiedades_gases_EN673[[#This Row],[temperatura]]</f>
        <v>Argón 0</v>
      </c>
      <c r="C8" t="s">
        <v>9</v>
      </c>
      <c r="D8">
        <v>0</v>
      </c>
      <c r="E8" s="2">
        <v>1.762</v>
      </c>
      <c r="F8" s="3">
        <v>2.101E-5</v>
      </c>
      <c r="G8" s="3">
        <v>1.634E-2</v>
      </c>
      <c r="H8" s="3">
        <v>519</v>
      </c>
      <c r="J8" s="4" t="s">
        <v>36</v>
      </c>
      <c r="K8">
        <v>25</v>
      </c>
      <c r="L8" t="s">
        <v>41</v>
      </c>
      <c r="M8" t="s">
        <v>45</v>
      </c>
    </row>
    <row r="9" spans="2:13" x14ac:dyDescent="0.25">
      <c r="B9" s="3" t="str">
        <f>propiedades_gases_EN673[[#This Row],[gas]]&amp;" "&amp;propiedades_gases_EN673[[#This Row],[temperatura]]</f>
        <v>Argón 10</v>
      </c>
      <c r="C9" t="s">
        <v>9</v>
      </c>
      <c r="D9">
        <v>10</v>
      </c>
      <c r="E9" s="2">
        <v>1.6990000000000001</v>
      </c>
      <c r="F9" s="3">
        <v>2.1639999999999999E-5</v>
      </c>
      <c r="G9" s="3">
        <v>1.6840000000000001E-2</v>
      </c>
      <c r="H9" s="3">
        <v>519</v>
      </c>
      <c r="J9" s="4" t="s">
        <v>37</v>
      </c>
      <c r="K9">
        <v>7.7</v>
      </c>
      <c r="L9" t="s">
        <v>41</v>
      </c>
      <c r="M9" t="s">
        <v>46</v>
      </c>
    </row>
    <row r="10" spans="2:13" x14ac:dyDescent="0.25">
      <c r="B10" s="3" t="str">
        <f>propiedades_gases_EN673[[#This Row],[gas]]&amp;" "&amp;propiedades_gases_EN673[[#This Row],[temperatura]]</f>
        <v>Argón 20</v>
      </c>
      <c r="C10" t="s">
        <v>9</v>
      </c>
      <c r="D10">
        <v>20</v>
      </c>
      <c r="E10" s="2">
        <v>1.64</v>
      </c>
      <c r="F10" s="3">
        <v>2.228E-5</v>
      </c>
      <c r="G10" s="3">
        <v>1.7340000000000001E-2</v>
      </c>
      <c r="H10" s="3">
        <v>519</v>
      </c>
      <c r="J10" s="4" t="s">
        <v>38</v>
      </c>
      <c r="K10">
        <v>0.38</v>
      </c>
      <c r="M10" t="s">
        <v>47</v>
      </c>
    </row>
    <row r="11" spans="2:13" x14ac:dyDescent="0.25">
      <c r="B11" s="3" t="str">
        <f>propiedades_gases_EN673[[#This Row],[gas]]&amp;" "&amp;propiedades_gases_EN673[[#This Row],[temperatura]]</f>
        <v>Kriptón -10</v>
      </c>
      <c r="C11" t="s">
        <v>10</v>
      </c>
      <c r="D11">
        <v>-10</v>
      </c>
      <c r="E11" s="2">
        <v>3.8319999999999999</v>
      </c>
      <c r="F11" s="3">
        <v>2.26E-5</v>
      </c>
      <c r="G11" s="3">
        <v>8.4200000000000004E-3</v>
      </c>
      <c r="H11" s="3">
        <v>245</v>
      </c>
      <c r="J11" s="4" t="s">
        <v>24</v>
      </c>
      <c r="K11">
        <v>3.5000000000000003E-2</v>
      </c>
      <c r="M11" t="s">
        <v>44</v>
      </c>
    </row>
    <row r="12" spans="2:13" x14ac:dyDescent="0.25">
      <c r="B12" s="3" t="str">
        <f>propiedades_gases_EN673[[#This Row],[gas]]&amp;" "&amp;propiedades_gases_EN673[[#This Row],[temperatura]]</f>
        <v>Kriptón 0</v>
      </c>
      <c r="C12" t="s">
        <v>10</v>
      </c>
      <c r="D12">
        <v>0</v>
      </c>
      <c r="E12" s="2">
        <v>3.69</v>
      </c>
      <c r="F12" s="3">
        <v>2.3300000000000001E-5</v>
      </c>
      <c r="G12" s="3">
        <v>8.6999999999999994E-3</v>
      </c>
      <c r="H12" s="3">
        <v>245</v>
      </c>
    </row>
    <row r="13" spans="2:13" x14ac:dyDescent="0.25">
      <c r="B13" s="3" t="str">
        <f>propiedades_gases_EN673[[#This Row],[gas]]&amp;" "&amp;propiedades_gases_EN673[[#This Row],[temperatura]]</f>
        <v>Kriptón 10</v>
      </c>
      <c r="C13" t="s">
        <v>10</v>
      </c>
      <c r="D13">
        <v>10</v>
      </c>
      <c r="E13" s="2">
        <v>3.56</v>
      </c>
      <c r="F13" s="3">
        <v>2.4000000000000001E-5</v>
      </c>
      <c r="G13" s="3">
        <v>8.9999999999999993E-3</v>
      </c>
      <c r="H13" s="3">
        <v>245</v>
      </c>
      <c r="J13" t="s">
        <v>55</v>
      </c>
      <c r="K13">
        <v>0.13</v>
      </c>
    </row>
    <row r="14" spans="2:13" x14ac:dyDescent="0.25">
      <c r="B14" s="3" t="str">
        <f>propiedades_gases_EN673[[#This Row],[gas]]&amp;" "&amp;propiedades_gases_EN673[[#This Row],[temperatura]]</f>
        <v>Kriptón 20</v>
      </c>
      <c r="C14" t="s">
        <v>10</v>
      </c>
      <c r="D14">
        <v>20</v>
      </c>
      <c r="E14" s="2">
        <v>3.42</v>
      </c>
      <c r="F14" s="3">
        <v>2.4700000000000001E-5</v>
      </c>
      <c r="G14" s="3">
        <v>9.2599999999999991E-3</v>
      </c>
      <c r="H14" s="3">
        <v>245</v>
      </c>
      <c r="J14" t="s">
        <v>56</v>
      </c>
      <c r="K14">
        <v>0.04</v>
      </c>
    </row>
    <row r="15" spans="2:13" x14ac:dyDescent="0.25">
      <c r="B15" s="3" t="str">
        <f>propiedades_gases_EN673[[#This Row],[gas]]&amp;" "&amp;propiedades_gases_EN673[[#This Row],[temperatura]]</f>
        <v>Xenón -10</v>
      </c>
      <c r="C15" t="s">
        <v>11</v>
      </c>
      <c r="D15">
        <v>-10</v>
      </c>
      <c r="E15" s="2">
        <v>6.1210000000000004</v>
      </c>
      <c r="F15" s="3">
        <v>2.0780000000000001E-5</v>
      </c>
      <c r="G15" s="3">
        <v>4.9399999999999999E-3</v>
      </c>
      <c r="H15" s="3">
        <v>161</v>
      </c>
      <c r="J15" s="4" t="s">
        <v>57</v>
      </c>
      <c r="K15">
        <v>1</v>
      </c>
      <c r="L15" t="s">
        <v>58</v>
      </c>
      <c r="M15" t="s">
        <v>59</v>
      </c>
    </row>
    <row r="16" spans="2:13" x14ac:dyDescent="0.25">
      <c r="B16" s="3" t="str">
        <f>propiedades_gases_EN673[[#This Row],[gas]]&amp;" "&amp;propiedades_gases_EN673[[#This Row],[temperatura]]</f>
        <v>Xenón 0</v>
      </c>
      <c r="C16" t="s">
        <v>11</v>
      </c>
      <c r="D16">
        <v>0</v>
      </c>
      <c r="E16" s="2">
        <v>5.8970000000000002</v>
      </c>
      <c r="F16" s="3">
        <v>2.1520000000000001E-5</v>
      </c>
      <c r="G16" s="3">
        <v>5.1200000000000004E-3</v>
      </c>
      <c r="H16" s="3">
        <v>161</v>
      </c>
    </row>
    <row r="17" spans="2:17" x14ac:dyDescent="0.25">
      <c r="B17" s="3" t="str">
        <f>propiedades_gases_EN673[[#This Row],[gas]]&amp;" "&amp;propiedades_gases_EN673[[#This Row],[temperatura]]</f>
        <v>Xenón 10</v>
      </c>
      <c r="C17" t="s">
        <v>11</v>
      </c>
      <c r="D17">
        <v>10</v>
      </c>
      <c r="E17" s="2">
        <v>5.6890000000000001</v>
      </c>
      <c r="F17" s="3">
        <v>2.226E-5</v>
      </c>
      <c r="G17" s="3">
        <v>5.2900000000000004E-3</v>
      </c>
      <c r="H17" s="3">
        <v>161</v>
      </c>
    </row>
    <row r="18" spans="2:17" x14ac:dyDescent="0.25">
      <c r="B18" s="3" t="str">
        <f>propiedades_gases_EN673[[#This Row],[gas]]&amp;" "&amp;propiedades_gases_EN673[[#This Row],[temperatura]]</f>
        <v>Xenón 20</v>
      </c>
      <c r="C18" t="s">
        <v>11</v>
      </c>
      <c r="D18">
        <v>20</v>
      </c>
      <c r="E18" s="2">
        <v>5.4950000000000001</v>
      </c>
      <c r="F18" s="3">
        <v>2.2989999999999998E-5</v>
      </c>
      <c r="G18" s="3">
        <v>5.4599999999999996E-3</v>
      </c>
      <c r="H18" s="3">
        <v>161</v>
      </c>
      <c r="J18" t="s">
        <v>60</v>
      </c>
      <c r="K18" t="s">
        <v>61</v>
      </c>
      <c r="L18" t="s">
        <v>62</v>
      </c>
      <c r="M18" t="s">
        <v>63</v>
      </c>
      <c r="N18" t="s">
        <v>64</v>
      </c>
      <c r="O18" t="s">
        <v>158</v>
      </c>
    </row>
    <row r="19" spans="2:17" x14ac:dyDescent="0.25">
      <c r="B19" s="3" t="str">
        <f>propiedades_gases_EN673[[#This Row],[gas]]&amp;" "&amp;propiedades_gases_EN673[[#This Row],[temperatura]]</f>
        <v>SF6 -10</v>
      </c>
      <c r="C19" t="s">
        <v>12</v>
      </c>
      <c r="D19">
        <v>-10</v>
      </c>
      <c r="E19" s="2">
        <v>6.8440000000000003</v>
      </c>
      <c r="F19" s="3">
        <v>1.383E-5</v>
      </c>
      <c r="G19" s="3">
        <v>1.119E-2</v>
      </c>
      <c r="H19" s="3">
        <v>614</v>
      </c>
      <c r="J19">
        <v>6</v>
      </c>
      <c r="K19">
        <v>0.21099999999999999</v>
      </c>
      <c r="L19">
        <v>0.191</v>
      </c>
      <c r="M19">
        <v>0.16300000000000001</v>
      </c>
      <c r="N19">
        <v>0.13200000000000001</v>
      </c>
      <c r="O19">
        <v>0.127</v>
      </c>
    </row>
    <row r="20" spans="2:17" x14ac:dyDescent="0.25">
      <c r="B20" s="3" t="str">
        <f>propiedades_gases_EN673[[#This Row],[gas]]&amp;" "&amp;propiedades_gases_EN673[[#This Row],[temperatura]]</f>
        <v>SF6 0</v>
      </c>
      <c r="C20" t="s">
        <v>12</v>
      </c>
      <c r="D20">
        <v>0</v>
      </c>
      <c r="E20" s="2">
        <v>6.6020000000000003</v>
      </c>
      <c r="F20" s="3">
        <v>1.4209999999999999E-5</v>
      </c>
      <c r="G20" s="3">
        <v>1.197E-2</v>
      </c>
      <c r="H20" s="3">
        <v>614</v>
      </c>
      <c r="J20">
        <v>9</v>
      </c>
      <c r="K20">
        <v>0.29899999999999999</v>
      </c>
      <c r="L20">
        <v>0.25900000000000001</v>
      </c>
      <c r="M20">
        <v>0.21099999999999999</v>
      </c>
      <c r="N20">
        <v>0.16200000000000001</v>
      </c>
      <c r="O20">
        <v>0.154</v>
      </c>
    </row>
    <row r="21" spans="2:17" x14ac:dyDescent="0.25">
      <c r="B21" s="3" t="str">
        <f>propiedades_gases_EN673[[#This Row],[gas]]&amp;" "&amp;propiedades_gases_EN673[[#This Row],[temperatura]]</f>
        <v>SF6 10</v>
      </c>
      <c r="C21" t="s">
        <v>12</v>
      </c>
      <c r="D21">
        <v>10</v>
      </c>
      <c r="E21" s="2">
        <v>6.36</v>
      </c>
      <c r="F21" s="3">
        <v>1.4589999999999999E-5</v>
      </c>
      <c r="G21" s="3">
        <v>1.2749999999999999E-2</v>
      </c>
      <c r="H21" s="3">
        <v>614</v>
      </c>
      <c r="J21">
        <v>12</v>
      </c>
      <c r="K21">
        <v>0.377</v>
      </c>
      <c r="L21">
        <v>0.316</v>
      </c>
      <c r="M21">
        <v>0.247</v>
      </c>
      <c r="N21">
        <v>0.18099999999999999</v>
      </c>
      <c r="O21">
        <v>0.17299999999999999</v>
      </c>
    </row>
    <row r="22" spans="2:17" x14ac:dyDescent="0.25">
      <c r="B22" s="3" t="str">
        <f>propiedades_gases_EN673[[#This Row],[gas]]&amp;" "&amp;propiedades_gases_EN673[[#This Row],[temperatura]]</f>
        <v>SF6 20</v>
      </c>
      <c r="C22" t="s">
        <v>12</v>
      </c>
      <c r="D22">
        <v>20</v>
      </c>
      <c r="E22" s="2">
        <v>6.1180000000000003</v>
      </c>
      <c r="F22" s="3">
        <v>1.4970000000000001E-5</v>
      </c>
      <c r="G22" s="3">
        <v>1.354E-2</v>
      </c>
      <c r="H22" s="3">
        <v>614</v>
      </c>
      <c r="J22">
        <v>15</v>
      </c>
      <c r="K22">
        <v>0.44700000000000001</v>
      </c>
      <c r="L22">
        <v>0.36399999999999999</v>
      </c>
      <c r="M22">
        <v>0.27600000000000002</v>
      </c>
      <c r="N22">
        <v>0.19700000000000001</v>
      </c>
      <c r="O22">
        <v>0.186</v>
      </c>
    </row>
    <row r="23" spans="2:17" x14ac:dyDescent="0.25">
      <c r="J23">
        <v>50</v>
      </c>
      <c r="K23">
        <v>0.40600000000000003</v>
      </c>
      <c r="L23">
        <v>0.33600000000000002</v>
      </c>
      <c r="M23">
        <v>0.26</v>
      </c>
      <c r="N23">
        <v>0.189</v>
      </c>
      <c r="O23">
        <v>0.17899999999999999</v>
      </c>
    </row>
    <row r="24" spans="2:17" x14ac:dyDescent="0.25">
      <c r="B24" s="13" t="s">
        <v>21</v>
      </c>
      <c r="C24" s="13" t="s">
        <v>93</v>
      </c>
      <c r="G24" s="13" t="s">
        <v>95</v>
      </c>
    </row>
    <row r="25" spans="2:17" x14ac:dyDescent="0.25">
      <c r="B25" t="s">
        <v>8</v>
      </c>
      <c r="C25" t="s">
        <v>118</v>
      </c>
      <c r="E25" s="15"/>
      <c r="F25" s="16"/>
      <c r="G25" t="s">
        <v>239</v>
      </c>
      <c r="J25" t="s">
        <v>66</v>
      </c>
      <c r="K25" t="s">
        <v>4</v>
      </c>
    </row>
    <row r="26" spans="2:17" x14ac:dyDescent="0.25">
      <c r="B26" t="s">
        <v>9</v>
      </c>
      <c r="C26" s="14" t="s">
        <v>78</v>
      </c>
      <c r="D26" s="14">
        <v>1</v>
      </c>
      <c r="E26" s="15" t="s">
        <v>78</v>
      </c>
      <c r="F26" s="16"/>
      <c r="G26" t="s">
        <v>96</v>
      </c>
      <c r="J26" t="s">
        <v>65</v>
      </c>
      <c r="K26">
        <v>2.8</v>
      </c>
    </row>
    <row r="27" spans="2:17" x14ac:dyDescent="0.25">
      <c r="B27" t="s">
        <v>10</v>
      </c>
      <c r="C27" s="14" t="s">
        <v>83</v>
      </c>
      <c r="D27" s="14">
        <v>2</v>
      </c>
      <c r="E27" s="16" t="s">
        <v>112</v>
      </c>
      <c r="F27" s="16"/>
      <c r="G27" t="s">
        <v>97</v>
      </c>
      <c r="J27" t="s">
        <v>67</v>
      </c>
      <c r="K27">
        <v>2.2000000000000002</v>
      </c>
      <c r="M27" s="15"/>
      <c r="N27" s="15" t="s">
        <v>86</v>
      </c>
      <c r="O27" s="15" t="s">
        <v>87</v>
      </c>
      <c r="P27" s="15" t="s">
        <v>4</v>
      </c>
      <c r="Q27" s="71" t="s">
        <v>0</v>
      </c>
    </row>
    <row r="28" spans="2:17" x14ac:dyDescent="0.25">
      <c r="B28" t="s">
        <v>11</v>
      </c>
      <c r="C28" s="14" t="s">
        <v>84</v>
      </c>
      <c r="D28" s="14">
        <v>2</v>
      </c>
      <c r="E28" s="16" t="s">
        <v>112</v>
      </c>
      <c r="F28" s="16"/>
      <c r="J28" t="s">
        <v>68</v>
      </c>
      <c r="K28">
        <v>2</v>
      </c>
      <c r="M28" s="14" t="s">
        <v>83</v>
      </c>
      <c r="N28" s="15">
        <v>0.85</v>
      </c>
      <c r="O28" s="15">
        <v>0.85</v>
      </c>
      <c r="P28" s="15"/>
    </row>
    <row r="29" spans="2:17" x14ac:dyDescent="0.25">
      <c r="B29" t="s">
        <v>12</v>
      </c>
      <c r="C29" s="14" t="s">
        <v>79</v>
      </c>
      <c r="D29" s="14">
        <v>3</v>
      </c>
      <c r="E29" s="15" t="s">
        <v>79</v>
      </c>
      <c r="F29" s="16"/>
      <c r="G29" s="13" t="s">
        <v>98</v>
      </c>
      <c r="M29" s="14" t="s">
        <v>84</v>
      </c>
      <c r="N29" s="15">
        <v>0.85</v>
      </c>
      <c r="O29" s="15">
        <v>0.85</v>
      </c>
      <c r="P29" s="15">
        <v>6.5</v>
      </c>
      <c r="Q29" s="71">
        <v>5.8</v>
      </c>
    </row>
    <row r="30" spans="2:17" x14ac:dyDescent="0.25">
      <c r="C30" s="14"/>
      <c r="D30" s="14"/>
      <c r="E30" s="15"/>
      <c r="F30" s="16"/>
      <c r="G30" s="16" t="s">
        <v>116</v>
      </c>
    </row>
    <row r="31" spans="2:17" x14ac:dyDescent="0.25">
      <c r="C31" t="s">
        <v>94</v>
      </c>
      <c r="G31" t="s">
        <v>99</v>
      </c>
    </row>
    <row r="32" spans="2:17" x14ac:dyDescent="0.25">
      <c r="G32" t="s">
        <v>107</v>
      </c>
      <c r="J32">
        <v>1</v>
      </c>
      <c r="M32">
        <v>2</v>
      </c>
    </row>
    <row r="33" spans="2:14" x14ac:dyDescent="0.25">
      <c r="B33" t="s">
        <v>74</v>
      </c>
      <c r="D33" t="s">
        <v>196</v>
      </c>
      <c r="E33">
        <v>1</v>
      </c>
      <c r="G33" t="s">
        <v>108</v>
      </c>
      <c r="J33" t="s">
        <v>69</v>
      </c>
      <c r="K33" t="s">
        <v>70</v>
      </c>
      <c r="M33" t="s">
        <v>69</v>
      </c>
      <c r="N33" t="s">
        <v>70</v>
      </c>
    </row>
    <row r="34" spans="2:14" x14ac:dyDescent="0.25">
      <c r="B34" t="s">
        <v>73</v>
      </c>
      <c r="G34" t="s">
        <v>109</v>
      </c>
      <c r="J34">
        <v>30</v>
      </c>
      <c r="K34">
        <v>2.7</v>
      </c>
      <c r="M34">
        <v>30</v>
      </c>
      <c r="N34">
        <v>2.2999999999999998</v>
      </c>
    </row>
    <row r="35" spans="2:14" x14ac:dyDescent="0.25">
      <c r="G35" t="s">
        <v>110</v>
      </c>
      <c r="J35">
        <v>50</v>
      </c>
      <c r="K35">
        <v>2.4</v>
      </c>
      <c r="M35">
        <v>50</v>
      </c>
      <c r="N35">
        <v>2.02</v>
      </c>
    </row>
    <row r="36" spans="2:14" x14ac:dyDescent="0.25">
      <c r="B36" t="s">
        <v>82</v>
      </c>
      <c r="C36" t="s">
        <v>80</v>
      </c>
      <c r="D36" t="s">
        <v>81</v>
      </c>
      <c r="J36">
        <v>95</v>
      </c>
      <c r="K36">
        <v>1.8</v>
      </c>
      <c r="M36">
        <v>110</v>
      </c>
      <c r="N36">
        <v>1.38</v>
      </c>
    </row>
    <row r="37" spans="2:14" x14ac:dyDescent="0.25">
      <c r="B37" t="s">
        <v>78</v>
      </c>
      <c r="C37">
        <v>0.06</v>
      </c>
      <c r="D37">
        <v>0.08</v>
      </c>
      <c r="G37" s="13" t="s">
        <v>6</v>
      </c>
      <c r="J37">
        <v>115</v>
      </c>
      <c r="K37">
        <v>1.6</v>
      </c>
      <c r="M37">
        <v>120</v>
      </c>
      <c r="N37">
        <v>1.3</v>
      </c>
    </row>
    <row r="38" spans="2:14" x14ac:dyDescent="0.25">
      <c r="B38" t="s">
        <v>83</v>
      </c>
      <c r="C38">
        <v>0.08</v>
      </c>
      <c r="D38">
        <v>0.11</v>
      </c>
      <c r="G38" t="s">
        <v>105</v>
      </c>
      <c r="J38">
        <v>140</v>
      </c>
      <c r="K38">
        <v>1.4</v>
      </c>
      <c r="M38">
        <v>150</v>
      </c>
      <c r="N38">
        <v>1.1000000000000001</v>
      </c>
    </row>
    <row r="39" spans="2:14" x14ac:dyDescent="0.25">
      <c r="B39" t="s">
        <v>84</v>
      </c>
      <c r="C39">
        <v>0.02</v>
      </c>
      <c r="D39">
        <v>0.05</v>
      </c>
      <c r="G39" t="s">
        <v>106</v>
      </c>
      <c r="J39">
        <v>170</v>
      </c>
      <c r="K39">
        <v>1.2</v>
      </c>
      <c r="M39">
        <v>169</v>
      </c>
      <c r="N39">
        <v>1</v>
      </c>
    </row>
    <row r="40" spans="2:14" x14ac:dyDescent="0.25">
      <c r="B40" t="s">
        <v>79</v>
      </c>
      <c r="C40">
        <v>0.06</v>
      </c>
      <c r="D40">
        <v>0.08</v>
      </c>
    </row>
    <row r="41" spans="2:14" x14ac:dyDescent="0.25">
      <c r="G41" s="13" t="s">
        <v>102</v>
      </c>
    </row>
    <row r="42" spans="2:14" x14ac:dyDescent="0.25">
      <c r="B42" t="s">
        <v>82</v>
      </c>
      <c r="C42" t="s">
        <v>80</v>
      </c>
      <c r="D42" t="s">
        <v>81</v>
      </c>
      <c r="F42">
        <v>1</v>
      </c>
      <c r="G42" t="s">
        <v>150</v>
      </c>
    </row>
    <row r="43" spans="2:14" x14ac:dyDescent="0.25">
      <c r="B43" t="s">
        <v>78</v>
      </c>
      <c r="C43">
        <v>0.05</v>
      </c>
      <c r="D43">
        <v>0.06</v>
      </c>
      <c r="F43">
        <v>2</v>
      </c>
      <c r="G43" s="17" t="s">
        <v>147</v>
      </c>
    </row>
    <row r="44" spans="2:14" x14ac:dyDescent="0.25">
      <c r="B44" t="s">
        <v>83</v>
      </c>
      <c r="C44">
        <v>0.06</v>
      </c>
      <c r="D44">
        <v>0.08</v>
      </c>
      <c r="F44">
        <v>3</v>
      </c>
      <c r="G44" t="s">
        <v>149</v>
      </c>
    </row>
    <row r="45" spans="2:14" x14ac:dyDescent="0.25">
      <c r="B45" t="s">
        <v>84</v>
      </c>
      <c r="C45">
        <v>0.01</v>
      </c>
      <c r="D45">
        <v>0.04</v>
      </c>
      <c r="F45">
        <v>4</v>
      </c>
      <c r="G45" t="s">
        <v>148</v>
      </c>
    </row>
    <row r="46" spans="2:14" x14ac:dyDescent="0.25">
      <c r="B46" t="s">
        <v>79</v>
      </c>
      <c r="C46">
        <v>0.05</v>
      </c>
      <c r="D46">
        <v>0.06</v>
      </c>
      <c r="F46">
        <v>5</v>
      </c>
      <c r="G46" t="s">
        <v>199</v>
      </c>
    </row>
    <row r="50" spans="3:51" x14ac:dyDescent="0.25">
      <c r="C50" t="s">
        <v>69</v>
      </c>
      <c r="D50" t="s">
        <v>70</v>
      </c>
      <c r="F50" t="s">
        <v>69</v>
      </c>
      <c r="G50" t="s">
        <v>70</v>
      </c>
    </row>
    <row r="51" spans="3:51" x14ac:dyDescent="0.25">
      <c r="C51">
        <v>0</v>
      </c>
      <c r="D51">
        <v>0</v>
      </c>
      <c r="F51">
        <v>0</v>
      </c>
      <c r="G51">
        <v>0</v>
      </c>
    </row>
    <row r="52" spans="3:51" x14ac:dyDescent="0.25">
      <c r="C52">
        <v>8</v>
      </c>
      <c r="D52">
        <v>0.11</v>
      </c>
      <c r="F52">
        <v>12</v>
      </c>
      <c r="G52">
        <v>0.22500000000000001</v>
      </c>
    </row>
    <row r="53" spans="3:51" x14ac:dyDescent="0.25">
      <c r="C53">
        <v>22</v>
      </c>
      <c r="D53">
        <v>0.2</v>
      </c>
      <c r="F53">
        <v>20</v>
      </c>
      <c r="G53">
        <v>0.3</v>
      </c>
    </row>
    <row r="54" spans="3:51" x14ac:dyDescent="0.25">
      <c r="C54">
        <v>32</v>
      </c>
      <c r="D54">
        <v>0.22500000000000001</v>
      </c>
      <c r="F54">
        <v>29</v>
      </c>
      <c r="G54">
        <v>0.35</v>
      </c>
    </row>
    <row r="55" spans="3:51" x14ac:dyDescent="0.25">
      <c r="C55">
        <v>36</v>
      </c>
      <c r="D55">
        <v>0.23</v>
      </c>
      <c r="F55">
        <v>36</v>
      </c>
      <c r="G55">
        <v>0.36599999999999999</v>
      </c>
    </row>
    <row r="60" spans="3:51" x14ac:dyDescent="0.25">
      <c r="G60" t="s">
        <v>238</v>
      </c>
      <c r="I60">
        <v>0.5</v>
      </c>
    </row>
    <row r="62" spans="3:51" x14ac:dyDescent="0.25">
      <c r="G62" s="73" t="s">
        <v>195</v>
      </c>
      <c r="H62" s="73"/>
      <c r="I62" s="73"/>
      <c r="J62" s="73"/>
      <c r="K62" s="73"/>
      <c r="L62" s="73"/>
      <c r="M62" s="73"/>
      <c r="N62" s="73"/>
      <c r="O62" s="73"/>
      <c r="P62" s="73"/>
      <c r="Q62" s="73"/>
      <c r="R62" s="74"/>
      <c r="S62" s="74"/>
      <c r="T62" s="74"/>
      <c r="U62" s="74"/>
      <c r="V62" s="74"/>
      <c r="W62" s="74"/>
      <c r="X62" s="74"/>
      <c r="Y62" s="74"/>
      <c r="Z62" s="74"/>
      <c r="AA62" s="74"/>
      <c r="AB62" s="74"/>
      <c r="AC62" s="74"/>
      <c r="AD62" s="74"/>
      <c r="AE62" s="74"/>
      <c r="AF62" s="74"/>
      <c r="AG62" s="74"/>
      <c r="AH62" s="74"/>
      <c r="AI62" s="74"/>
      <c r="AJ62" s="74"/>
      <c r="AK62" s="74"/>
      <c r="AL62" s="74"/>
      <c r="AM62" s="74"/>
      <c r="AN62" s="74"/>
      <c r="AO62" s="74"/>
      <c r="AP62" s="74"/>
      <c r="AQ62" s="74"/>
      <c r="AR62" s="74"/>
      <c r="AS62" s="74"/>
      <c r="AT62" s="74"/>
      <c r="AU62" s="74"/>
      <c r="AV62" s="74"/>
      <c r="AW62" s="74"/>
      <c r="AX62" s="74"/>
      <c r="AY62" s="74"/>
    </row>
    <row r="63" spans="3:51" ht="15" customHeight="1" x14ac:dyDescent="0.25">
      <c r="G63" t="str">
        <f>"Para efectos de acreditar su comportamiento térmico, se considera a la ventana con vidrio simple y marco de metal sin RPT con Uw = "&amp;$Q$29&amp;" [W/m²K] como máximo."</f>
        <v>Para efectos de acreditar su comportamiento térmico, se considera a la ventana con vidrio simple y marco de metal sin RPT con Uw = 5,8 [W/m²K] como máximo.</v>
      </c>
      <c r="H63" s="75"/>
      <c r="I63" s="75"/>
      <c r="J63" s="75"/>
      <c r="K63" s="75"/>
      <c r="L63" s="75"/>
      <c r="M63" s="75"/>
      <c r="N63" s="75"/>
      <c r="O63" s="75"/>
      <c r="P63" s="75"/>
      <c r="Q63" s="75"/>
      <c r="R63" s="76"/>
      <c r="S63" s="76"/>
      <c r="T63" s="76"/>
      <c r="U63" s="76"/>
      <c r="V63" s="76"/>
      <c r="W63" s="76"/>
      <c r="X63" s="76"/>
      <c r="Y63" s="76"/>
      <c r="Z63" s="76"/>
      <c r="AA63" s="76"/>
      <c r="AB63" s="76"/>
      <c r="AC63" s="76"/>
      <c r="AD63" s="76"/>
      <c r="AE63" s="76"/>
      <c r="AF63" s="76"/>
      <c r="AG63" s="76"/>
      <c r="AH63" s="76"/>
      <c r="AI63" s="76"/>
      <c r="AJ63" s="76"/>
      <c r="AK63" s="76"/>
      <c r="AL63" s="74"/>
      <c r="AM63" s="74"/>
      <c r="AN63" s="74"/>
      <c r="AO63" s="74"/>
      <c r="AP63" s="74"/>
      <c r="AQ63" s="74"/>
      <c r="AR63" s="74"/>
      <c r="AS63" s="74"/>
      <c r="AT63" s="74"/>
      <c r="AU63" s="74"/>
      <c r="AV63" s="74"/>
      <c r="AW63" s="74"/>
      <c r="AX63" s="74"/>
      <c r="AY63" s="74"/>
    </row>
    <row r="64" spans="3:51" x14ac:dyDescent="0.25">
      <c r="G64" s="75" t="s">
        <v>193</v>
      </c>
      <c r="H64" s="75"/>
      <c r="I64" s="75"/>
      <c r="J64" s="75"/>
      <c r="K64" s="75"/>
      <c r="L64" s="75"/>
      <c r="M64" s="75"/>
      <c r="N64" s="75"/>
      <c r="O64" s="75"/>
      <c r="P64" s="75"/>
      <c r="Q64" s="75"/>
      <c r="R64" s="76"/>
      <c r="S64" s="76"/>
      <c r="T64" s="76"/>
      <c r="U64" s="76"/>
      <c r="V64" s="76"/>
      <c r="W64" s="76"/>
      <c r="X64" s="76"/>
      <c r="Y64" s="76"/>
      <c r="Z64" s="76"/>
      <c r="AA64" s="76"/>
      <c r="AB64" s="76"/>
      <c r="AC64" s="76"/>
      <c r="AD64" s="76"/>
      <c r="AE64" s="76"/>
      <c r="AF64" s="76"/>
      <c r="AG64" s="76"/>
      <c r="AH64" s="76"/>
      <c r="AI64" s="76"/>
      <c r="AJ64" s="76"/>
      <c r="AK64" s="76"/>
      <c r="AL64" s="74"/>
      <c r="AM64" s="74"/>
      <c r="AN64" s="74"/>
      <c r="AO64" s="74"/>
      <c r="AP64" s="74"/>
      <c r="AQ64" s="74"/>
      <c r="AR64" s="74"/>
      <c r="AS64" s="74"/>
      <c r="AT64" s="74"/>
      <c r="AU64" s="74"/>
      <c r="AV64" s="74"/>
      <c r="AW64" s="74"/>
      <c r="AX64" s="74"/>
      <c r="AY64" s="74"/>
    </row>
    <row r="65" spans="7:17" x14ac:dyDescent="0.25">
      <c r="G65" s="72"/>
      <c r="H65" s="72"/>
      <c r="I65" s="72"/>
      <c r="J65" s="72"/>
      <c r="K65" s="72"/>
      <c r="L65" s="72"/>
      <c r="M65" s="72"/>
      <c r="N65" s="72"/>
      <c r="O65" s="72"/>
      <c r="P65" s="72"/>
      <c r="Q65" s="72"/>
    </row>
    <row r="67" spans="7:17" x14ac:dyDescent="0.25">
      <c r="H67" s="79" t="s">
        <v>216</v>
      </c>
      <c r="I67" t="s">
        <v>203</v>
      </c>
    </row>
    <row r="68" spans="7:17" x14ac:dyDescent="0.25">
      <c r="H68" s="79" t="s">
        <v>217</v>
      </c>
      <c r="I68" s="17" t="s">
        <v>205</v>
      </c>
      <c r="L68" s="78"/>
    </row>
    <row r="69" spans="7:17" x14ac:dyDescent="0.25">
      <c r="H69" s="79" t="s">
        <v>218</v>
      </c>
      <c r="I69" s="17" t="s">
        <v>206</v>
      </c>
      <c r="L69" s="78"/>
    </row>
    <row r="70" spans="7:17" x14ac:dyDescent="0.25">
      <c r="H70" s="79" t="s">
        <v>219</v>
      </c>
      <c r="I70" s="17" t="s">
        <v>207</v>
      </c>
      <c r="L70" s="78"/>
    </row>
    <row r="71" spans="7:17" x14ac:dyDescent="0.25">
      <c r="H71" s="79" t="s">
        <v>220</v>
      </c>
      <c r="I71" s="17" t="s">
        <v>209</v>
      </c>
      <c r="L71" s="78"/>
    </row>
    <row r="72" spans="7:17" x14ac:dyDescent="0.25">
      <c r="H72" s="79" t="s">
        <v>221</v>
      </c>
      <c r="I72" s="17" t="s">
        <v>204</v>
      </c>
      <c r="L72" s="78"/>
    </row>
    <row r="73" spans="7:17" x14ac:dyDescent="0.25">
      <c r="G73" s="17"/>
      <c r="H73" s="79" t="s">
        <v>222</v>
      </c>
      <c r="I73" s="17" t="s">
        <v>208</v>
      </c>
      <c r="L73" s="78"/>
    </row>
    <row r="74" spans="7:17" x14ac:dyDescent="0.25">
      <c r="H74" s="79" t="s">
        <v>253</v>
      </c>
      <c r="I74" s="17"/>
      <c r="L74" s="78"/>
    </row>
    <row r="75" spans="7:17" x14ac:dyDescent="0.25">
      <c r="I75" s="17"/>
    </row>
    <row r="76" spans="7:17" x14ac:dyDescent="0.25">
      <c r="G76">
        <v>1</v>
      </c>
      <c r="H76" t="s">
        <v>200</v>
      </c>
      <c r="I76" t="s">
        <v>149</v>
      </c>
      <c r="J76" t="s">
        <v>148</v>
      </c>
      <c r="K76" t="s">
        <v>199</v>
      </c>
    </row>
    <row r="77" spans="7:17" x14ac:dyDescent="0.25">
      <c r="G77">
        <v>2</v>
      </c>
      <c r="H77" t="s">
        <v>210</v>
      </c>
      <c r="I77" t="s">
        <v>150</v>
      </c>
      <c r="J77" t="s">
        <v>149</v>
      </c>
      <c r="K77" t="s">
        <v>148</v>
      </c>
    </row>
    <row r="78" spans="7:17" x14ac:dyDescent="0.25">
      <c r="G78">
        <v>3</v>
      </c>
      <c r="H78" s="17" t="s">
        <v>211</v>
      </c>
      <c r="I78" t="s">
        <v>147</v>
      </c>
      <c r="J78" t="s">
        <v>149</v>
      </c>
      <c r="K78" t="s">
        <v>148</v>
      </c>
    </row>
    <row r="79" spans="7:17" x14ac:dyDescent="0.25">
      <c r="G79">
        <v>4</v>
      </c>
      <c r="H79" t="s">
        <v>241</v>
      </c>
      <c r="I79" t="s">
        <v>150</v>
      </c>
      <c r="J79" s="17" t="s">
        <v>149</v>
      </c>
      <c r="K79" s="17" t="s">
        <v>148</v>
      </c>
    </row>
    <row r="80" spans="7:17" x14ac:dyDescent="0.25">
      <c r="G80">
        <v>5</v>
      </c>
      <c r="H80" t="s">
        <v>252</v>
      </c>
      <c r="I80" s="17" t="s">
        <v>150</v>
      </c>
      <c r="J80" s="17" t="s">
        <v>147</v>
      </c>
      <c r="K80" s="17" t="s">
        <v>149</v>
      </c>
      <c r="L80" s="17" t="s">
        <v>148</v>
      </c>
      <c r="M80" s="17" t="s">
        <v>199</v>
      </c>
    </row>
  </sheetData>
  <pageMargins left="0.7" right="0.7" top="0.75" bottom="0.75" header="0.3" footer="0.3"/>
  <pageSetup paperSize="9" orientation="portrait" r:id="rId1"/>
  <drawing r:id="rId2"/>
  <tableParts count="5">
    <tablePart r:id="rId3"/>
    <tablePart r:id="rId4"/>
    <tablePart r:id="rId5"/>
    <tablePart r:id="rId6"/>
    <tablePart r:id="rId7"/>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Documento" ma:contentTypeID="0x01010079781E57EE3776479F00CFB3B8B4EE7E" ma:contentTypeVersion="14" ma:contentTypeDescription="Crear nuevo documento." ma:contentTypeScope="" ma:versionID="da1e4267203da749d950936d349c3893">
  <xsd:schema xmlns:xsd="http://www.w3.org/2001/XMLSchema" xmlns:xs="http://www.w3.org/2001/XMLSchema" xmlns:p="http://schemas.microsoft.com/office/2006/metadata/properties" xmlns:ns3="f99a8142-c8c3-42d1-99c9-e345721dd35b" xmlns:ns4="14c95f5b-5f88-4db2-8f54-557d0624db05" targetNamespace="http://schemas.microsoft.com/office/2006/metadata/properties" ma:root="true" ma:fieldsID="87dd9e75677760c985b0ecd9d962c1ad" ns3:_="" ns4:_="">
    <xsd:import namespace="f99a8142-c8c3-42d1-99c9-e345721dd35b"/>
    <xsd:import namespace="14c95f5b-5f88-4db2-8f54-557d0624db05"/>
    <xsd:element name="properties">
      <xsd:complexType>
        <xsd:sequence>
          <xsd:element name="documentManagement">
            <xsd:complexType>
              <xsd:all>
                <xsd:element ref="ns3:MediaServiceMetadata" minOccurs="0"/>
                <xsd:element ref="ns3:MediaServiceFastMetadata" minOccurs="0"/>
                <xsd:element ref="ns4:SharedWithUsers" minOccurs="0"/>
                <xsd:element ref="ns4:SharedWithDetails" minOccurs="0"/>
                <xsd:element ref="ns4:SharingHintHash" minOccurs="0"/>
                <xsd:element ref="ns3:MediaServiceAutoKeyPoints" minOccurs="0"/>
                <xsd:element ref="ns3:MediaServiceKeyPoints" minOccurs="0"/>
                <xsd:element ref="ns3:MediaServiceDateTaken" minOccurs="0"/>
                <xsd:element ref="ns3:MediaLengthInSeconds" minOccurs="0"/>
                <xsd:element ref="ns3:MediaServiceAutoTags" minOccurs="0"/>
                <xsd:element ref="ns3:MediaServiceGenerationTime" minOccurs="0"/>
                <xsd:element ref="ns3:MediaServiceEventHashCode" minOccurs="0"/>
                <xsd:element ref="ns3:MediaServiceOCR" minOccurs="0"/>
                <xsd:element ref="ns3: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99a8142-c8c3-42d1-99c9-e345721dd35b"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3" nillable="true" ma:displayName="MediaServiceAutoKeyPoints" ma:hidden="true" ma:internalName="MediaServiceAutoKeyPoints" ma:readOnly="true">
      <xsd:simpleType>
        <xsd:restriction base="dms:Note"/>
      </xsd:simpleType>
    </xsd:element>
    <xsd:element name="MediaServiceKeyPoints" ma:index="14" nillable="true" ma:displayName="KeyPoints" ma:internalName="MediaServiceKeyPoints" ma:readOnly="true">
      <xsd:simpleType>
        <xsd:restriction base="dms:Note">
          <xsd:maxLength value="255"/>
        </xsd:restriction>
      </xsd:simpleType>
    </xsd:element>
    <xsd:element name="MediaServiceDateTaken" ma:index="15" nillable="true" ma:displayName="MediaServiceDateTaken" ma:hidden="true" ma:internalName="MediaServiceDateTaken" ma:readOnly="true">
      <xsd:simpleType>
        <xsd:restriction base="dms:Text"/>
      </xsd:simpleType>
    </xsd:element>
    <xsd:element name="MediaLengthInSeconds" ma:index="16" nillable="true" ma:displayName="MediaLengthInSeconds" ma:hidden="true" ma:internalName="MediaLengthInSeconds" ma:readOnly="true">
      <xsd:simpleType>
        <xsd:restriction base="dms:Unknown"/>
      </xsd:simpleType>
    </xsd:element>
    <xsd:element name="MediaServiceAutoTags" ma:index="17" nillable="true" ma:displayName="Tags" ma:internalName="MediaServiceAutoTags" ma:readOnly="true">
      <xsd:simpleType>
        <xsd:restriction base="dms:Text"/>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ServiceOCR" ma:index="20" nillable="true" ma:displayName="Extracted Text" ma:internalName="MediaServiceOCR" ma:readOnly="true">
      <xsd:simpleType>
        <xsd:restriction base="dms:Note">
          <xsd:maxLength value="255"/>
        </xsd:restriction>
      </xsd:simpleType>
    </xsd:element>
    <xsd:element name="MediaServiceLocation" ma:index="21" nillable="true" ma:displayName="Location"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14c95f5b-5f88-4db2-8f54-557d0624db05" elementFormDefault="qualified">
    <xsd:import namespace="http://schemas.microsoft.com/office/2006/documentManagement/types"/>
    <xsd:import namespace="http://schemas.microsoft.com/office/infopath/2007/PartnerControls"/>
    <xsd:element name="SharedWithUsers" ma:index="10"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Detalles de uso compartido" ma:internalName="SharedWithDetails" ma:readOnly="true">
      <xsd:simpleType>
        <xsd:restriction base="dms:Note">
          <xsd:maxLength value="255"/>
        </xsd:restriction>
      </xsd:simpleType>
    </xsd:element>
    <xsd:element name="SharingHintHash" ma:index="12" nillable="true" ma:displayName="Hash de la sugerencia para compartir"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5F30D9C9-E505-4028-B9A2-CA8507DDC866}">
  <ds:schemaRefs>
    <ds:schemaRef ds:uri="http://purl.org/dc/dcmitype/"/>
    <ds:schemaRef ds:uri="http://schemas.microsoft.com/office/infopath/2007/PartnerControls"/>
    <ds:schemaRef ds:uri="http://schemas.microsoft.com/office/2006/documentManagement/types"/>
    <ds:schemaRef ds:uri="http://schemas.microsoft.com/office/2006/metadata/properties"/>
    <ds:schemaRef ds:uri="f99a8142-c8c3-42d1-99c9-e345721dd35b"/>
    <ds:schemaRef ds:uri="http://purl.org/dc/terms/"/>
    <ds:schemaRef ds:uri="http://schemas.openxmlformats.org/package/2006/metadata/core-properties"/>
    <ds:schemaRef ds:uri="14c95f5b-5f88-4db2-8f54-557d0624db05"/>
    <ds:schemaRef ds:uri="http://www.w3.org/XML/1998/namespace"/>
    <ds:schemaRef ds:uri="http://purl.org/dc/elements/1.1/"/>
  </ds:schemaRefs>
</ds:datastoreItem>
</file>

<file path=customXml/itemProps2.xml><?xml version="1.0" encoding="utf-8"?>
<ds:datastoreItem xmlns:ds="http://schemas.openxmlformats.org/officeDocument/2006/customXml" ds:itemID="{B6CECA22-585A-4AD3-A0FF-AF993DFB074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99a8142-c8c3-42d1-99c9-e345721dd35b"/>
    <ds:schemaRef ds:uri="14c95f5b-5f88-4db2-8f54-557d0624db0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3517ED3F-18CB-4F73-9CF2-B6046E149140}">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57</vt:i4>
      </vt:variant>
    </vt:vector>
  </HeadingPairs>
  <TitlesOfParts>
    <vt:vector size="62" baseType="lpstr">
      <vt:lpstr>Instrucciones</vt:lpstr>
      <vt:lpstr>Datos</vt:lpstr>
      <vt:lpstr>Cálculos</vt:lpstr>
      <vt:lpstr>imágenes</vt:lpstr>
      <vt:lpstr>Aux</vt:lpstr>
      <vt:lpstr>A_gas</vt:lpstr>
      <vt:lpstr>Cálculos!Af</vt:lpstr>
      <vt:lpstr>Cálculos!Ag</vt:lpstr>
      <vt:lpstr>Cálculos!alfa</vt:lpstr>
      <vt:lpstr>Cálculos!alto</vt:lpstr>
      <vt:lpstr>Cálculos!ancho</vt:lpstr>
      <vt:lpstr>Cálculos!ancho_marco</vt:lpstr>
      <vt:lpstr>aporte_espaciador</vt:lpstr>
      <vt:lpstr>aporte_marco</vt:lpstr>
      <vt:lpstr>aporte_vidriado</vt:lpstr>
      <vt:lpstr>Datos!Área_de_impresión</vt:lpstr>
      <vt:lpstr>Cálculos!Aw</vt:lpstr>
      <vt:lpstr>Cálculos!caso</vt:lpstr>
      <vt:lpstr>Cálculos!cgas</vt:lpstr>
      <vt:lpstr>Cálculos!Configuración</vt:lpstr>
      <vt:lpstr>Cálculos!d</vt:lpstr>
      <vt:lpstr>Cálculos!df</vt:lpstr>
      <vt:lpstr>Cálculos!fm</vt:lpstr>
      <vt:lpstr>Cálculos!Grgas</vt:lpstr>
      <vt:lpstr>Cálculos!Junta_apertura</vt:lpstr>
      <vt:lpstr>Cálculos!lambda_vidrio</vt:lpstr>
      <vt:lpstr>Cálculos!lg</vt:lpstr>
      <vt:lpstr>Cálculos!lg_calc</vt:lpstr>
      <vt:lpstr>n_gas</vt:lpstr>
      <vt:lpstr>Cálculos!Nu_gas</vt:lpstr>
      <vt:lpstr>opción_sup_Ventana</vt:lpstr>
      <vt:lpstr>opciones_tipo_cierre</vt:lpstr>
      <vt:lpstr>Cálculos!Pr_gas</vt:lpstr>
      <vt:lpstr>proporción_defecto</vt:lpstr>
      <vt:lpstr>Cálculos!Rf_metálico</vt:lpstr>
      <vt:lpstr>Rse</vt:lpstr>
      <vt:lpstr>Rsi</vt:lpstr>
      <vt:lpstr>tipo_categoría_marco</vt:lpstr>
      <vt:lpstr>tipo_cierre</vt:lpstr>
      <vt:lpstr>tipo_espaciador_1</vt:lpstr>
      <vt:lpstr>Cálculos!tipo_espaciador_2</vt:lpstr>
      <vt:lpstr>tipo_marco</vt:lpstr>
      <vt:lpstr>tipo_vidriado</vt:lpstr>
      <vt:lpstr>Tm_gas_defecto</vt:lpstr>
      <vt:lpstr>txt_cálculo</vt:lpstr>
      <vt:lpstr>txt_campo_numérico</vt:lpstr>
      <vt:lpstr>txt_espaciador</vt:lpstr>
      <vt:lpstr>txt_marco</vt:lpstr>
      <vt:lpstr>txt_R_cámara_aire</vt:lpstr>
      <vt:lpstr>txt_transmitancia_marco</vt:lpstr>
      <vt:lpstr>txt_Vidrio</vt:lpstr>
      <vt:lpstr>Cálculos!Uf</vt:lpstr>
      <vt:lpstr>Uf_Metal_sin_RPT</vt:lpstr>
      <vt:lpstr>Cálculos!Ug</vt:lpstr>
      <vt:lpstr>Cálculos!Uw</vt:lpstr>
      <vt:lpstr>ΔT_gas_defecto</vt:lpstr>
      <vt:lpstr>ε_vidrio_defecto</vt:lpstr>
      <vt:lpstr>Cálculos!λgas</vt:lpstr>
      <vt:lpstr>Cálculos!μgas</vt:lpstr>
      <vt:lpstr>Cálculos!ρgas</vt:lpstr>
      <vt:lpstr>σ</vt:lpstr>
      <vt:lpstr>Cálculos!Ψg</vt:lpstr>
    </vt:vector>
  </TitlesOfParts>
  <Company>Ministerio de Vivienda Y Urbanismo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Xavier Irazoqui Oyarzabal</dc:creator>
  <cp:lastModifiedBy>Xavier Irazoqui</cp:lastModifiedBy>
  <dcterms:created xsi:type="dcterms:W3CDTF">2022-06-15T16:55:57Z</dcterms:created>
  <dcterms:modified xsi:type="dcterms:W3CDTF">2022-08-19T16:07:59Z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0x01010079781E57EE3776479F00CFB3B8B4EE7E</vt:lpwstr>
  </property>
</Properties>
</file>